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2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MPROVE\Desktop\IVASIUC 10.05.2018\"/>
    </mc:Choice>
  </mc:AlternateContent>
  <xr:revisionPtr revIDLastSave="0" documentId="8_{CFF1C4D1-C8F6-4A9B-93E2-34125D3A17BA}" xr6:coauthVersionLast="32" xr6:coauthVersionMax="32" xr10:uidLastSave="{00000000-0000-0000-0000-000000000000}"/>
  <bookViews>
    <workbookView xWindow="0" yWindow="0" windowWidth="28800" windowHeight="12225" xr2:uid="{00000000-000D-0000-FFFF-FFFF00000000}"/>
  </bookViews>
  <sheets>
    <sheet name="DEVIZ GENERAL" sheetId="1" r:id="rId1"/>
    <sheet name="Deviz" sheetId="8" state="hidden" r:id="rId2"/>
    <sheet name="ECHIPAMENTE SI DOTARI" sheetId="6" state="hidden" r:id="rId3"/>
    <sheet name="centralizator oferte " sheetId="7" state="hidden" r:id="rId4"/>
  </sheets>
  <externalReferences>
    <externalReference r:id="rId5"/>
  </externalReferences>
  <definedNames>
    <definedName name="_xlnm.Print_Area" localSheetId="0">'DEVIZ GENERAL'!$A$1:$G$103</definedName>
  </definedNames>
  <calcPr calcId="162913"/>
</workbook>
</file>

<file path=xl/calcChain.xml><?xml version="1.0" encoding="utf-8"?>
<calcChain xmlns="http://schemas.openxmlformats.org/spreadsheetml/2006/main">
  <c r="E26" i="1" l="1"/>
  <c r="E25" i="1"/>
  <c r="C62" i="1" l="1"/>
  <c r="F26" i="1" l="1"/>
  <c r="D27" i="1"/>
  <c r="C27" i="1"/>
  <c r="E22" i="1"/>
  <c r="F22" i="1" s="1"/>
  <c r="C21" i="1"/>
  <c r="E21" i="1" s="1"/>
  <c r="E18" i="1"/>
  <c r="F18" i="1" s="1"/>
  <c r="E19" i="1"/>
  <c r="F19" i="1" s="1"/>
  <c r="F25" i="1"/>
  <c r="F21" i="1" l="1"/>
  <c r="F27" i="1"/>
  <c r="E27" i="1"/>
  <c r="C97" i="1"/>
  <c r="C55" i="1" l="1"/>
  <c r="E76" i="1" l="1"/>
  <c r="AA15" i="8" l="1"/>
  <c r="D60" i="8"/>
  <c r="E55" i="8"/>
  <c r="D55" i="8" s="1"/>
  <c r="D54" i="8"/>
  <c r="C91" i="1" l="1"/>
  <c r="C101" i="1" s="1"/>
  <c r="U45" i="1"/>
  <c r="U43" i="1"/>
  <c r="C29" i="1" l="1"/>
  <c r="E77" i="7"/>
  <c r="C48" i="1"/>
  <c r="C47" i="1" s="1"/>
  <c r="C77" i="1"/>
  <c r="C36" i="1"/>
  <c r="D66" i="7"/>
  <c r="E66" i="7" s="1"/>
  <c r="I97" i="6"/>
  <c r="I98" i="6"/>
  <c r="E67" i="7"/>
  <c r="E77" i="1" l="1"/>
  <c r="F77" i="1" s="1"/>
  <c r="E29" i="1"/>
  <c r="F29" i="1" s="1"/>
  <c r="D69" i="7"/>
  <c r="E69" i="7" s="1"/>
  <c r="D21" i="6" l="1"/>
  <c r="D43" i="6" l="1"/>
  <c r="D100" i="6"/>
  <c r="V75" i="1" l="1"/>
  <c r="V76" i="1" s="1"/>
  <c r="F90" i="6" l="1"/>
  <c r="G90" i="6" s="1"/>
  <c r="F91" i="6"/>
  <c r="G91" i="6" s="1"/>
  <c r="F92" i="6"/>
  <c r="G92" i="6" s="1"/>
  <c r="F93" i="6"/>
  <c r="G93" i="6" s="1"/>
  <c r="F94" i="6"/>
  <c r="G94" i="6" s="1"/>
  <c r="F95" i="6"/>
  <c r="G95" i="6" s="1"/>
  <c r="F96" i="6"/>
  <c r="G96" i="6" s="1"/>
  <c r="F97" i="6"/>
  <c r="G97" i="6" s="1"/>
  <c r="F98" i="6"/>
  <c r="G98" i="6" s="1"/>
  <c r="I99" i="6"/>
  <c r="F41" i="6"/>
  <c r="G41" i="6" s="1"/>
  <c r="F38" i="6"/>
  <c r="G38" i="6" s="1"/>
  <c r="F39" i="6"/>
  <c r="G39" i="6" s="1"/>
  <c r="F40" i="6"/>
  <c r="G40" i="6" s="1"/>
  <c r="F42" i="6"/>
  <c r="G42" i="6" s="1"/>
  <c r="C60" i="1" l="1"/>
  <c r="C79" i="1"/>
  <c r="V43" i="1"/>
  <c r="C65" i="1"/>
  <c r="P68" i="1"/>
  <c r="C44" i="1"/>
  <c r="C52" i="1" s="1"/>
  <c r="P40" i="1"/>
  <c r="E52" i="1" l="1"/>
  <c r="F52" i="1" s="1"/>
  <c r="P67" i="1"/>
  <c r="C23" i="1" l="1"/>
  <c r="F76" i="1"/>
  <c r="E75" i="1"/>
  <c r="F75" i="1" s="1"/>
  <c r="E72" i="1"/>
  <c r="F72" i="1" s="1"/>
  <c r="D36" i="8" s="1"/>
  <c r="N36" i="8" s="1"/>
  <c r="Z36" i="8" s="1"/>
  <c r="AA36" i="8" s="1"/>
  <c r="E70" i="1"/>
  <c r="F70" i="1" s="1"/>
  <c r="F69" i="1"/>
  <c r="F68" i="1"/>
  <c r="F67" i="1"/>
  <c r="E66" i="1"/>
  <c r="E59" i="1"/>
  <c r="F59" i="1" s="1"/>
  <c r="E51" i="1"/>
  <c r="E50" i="1"/>
  <c r="F50" i="1" s="1"/>
  <c r="E49" i="1"/>
  <c r="F49" i="1" s="1"/>
  <c r="E46" i="1"/>
  <c r="F46" i="1" s="1"/>
  <c r="E45" i="1"/>
  <c r="F45" i="1" s="1"/>
  <c r="E42" i="1"/>
  <c r="F42" i="1" s="1"/>
  <c r="E41" i="1"/>
  <c r="F41" i="1" s="1"/>
  <c r="E40" i="1"/>
  <c r="F40" i="1" s="1"/>
  <c r="E38" i="1"/>
  <c r="F38" i="1" s="1"/>
  <c r="E37" i="1"/>
  <c r="F37" i="1" s="1"/>
  <c r="E36" i="1"/>
  <c r="F36" i="1" s="1"/>
  <c r="D20" i="8" s="1"/>
  <c r="E34" i="1"/>
  <c r="F34" i="1" s="1"/>
  <c r="C18" i="8" s="1"/>
  <c r="E35" i="1"/>
  <c r="F35" i="1" s="1"/>
  <c r="C19" i="8" s="1"/>
  <c r="AA19" i="8" s="1"/>
  <c r="E32" i="1"/>
  <c r="F32" i="1" s="1"/>
  <c r="E31" i="1"/>
  <c r="F31" i="1" s="1"/>
  <c r="E30" i="1"/>
  <c r="F30" i="1" s="1"/>
  <c r="C16" i="8" s="1"/>
  <c r="AA16" i="8" s="1"/>
  <c r="E20" i="1"/>
  <c r="F20" i="1" s="1"/>
  <c r="E39" i="1"/>
  <c r="F39" i="1" s="1"/>
  <c r="D22" i="1"/>
  <c r="G22" i="1" s="1"/>
  <c r="F51" i="1" l="1"/>
  <c r="E20" i="8"/>
  <c r="D40" i="8"/>
  <c r="AA18" i="8"/>
  <c r="C40" i="8"/>
  <c r="F66" i="1"/>
  <c r="E65" i="1"/>
  <c r="F65" i="1" s="1"/>
  <c r="Z34" i="8" s="1"/>
  <c r="AA34" i="8" s="1"/>
  <c r="F20" i="8" l="1"/>
  <c r="G20" i="8" s="1"/>
  <c r="D100" i="1"/>
  <c r="G100" i="1" s="1"/>
  <c r="E100" i="1"/>
  <c r="F100" i="1" s="1"/>
  <c r="F87" i="6"/>
  <c r="G87" i="6" s="1"/>
  <c r="F88" i="6"/>
  <c r="G88" i="6" s="1"/>
  <c r="F89" i="6"/>
  <c r="G89" i="6" s="1"/>
  <c r="F72" i="6"/>
  <c r="G72" i="6" s="1"/>
  <c r="F73" i="6"/>
  <c r="G73" i="6" s="1"/>
  <c r="F74" i="6"/>
  <c r="G74" i="6" s="1"/>
  <c r="F75" i="6"/>
  <c r="G75" i="6" s="1"/>
  <c r="F76" i="6"/>
  <c r="G76" i="6" s="1"/>
  <c r="F77" i="6"/>
  <c r="G77" i="6" s="1"/>
  <c r="F78" i="6"/>
  <c r="G78" i="6" s="1"/>
  <c r="F79" i="6"/>
  <c r="G79" i="6" s="1"/>
  <c r="F80" i="6"/>
  <c r="G80" i="6" s="1"/>
  <c r="F81" i="6"/>
  <c r="G81" i="6" s="1"/>
  <c r="F82" i="6"/>
  <c r="G82" i="6" s="1"/>
  <c r="F83" i="6"/>
  <c r="G83" i="6" s="1"/>
  <c r="F84" i="6"/>
  <c r="G84" i="6" s="1"/>
  <c r="F85" i="6"/>
  <c r="G85" i="6" s="1"/>
  <c r="F86" i="6"/>
  <c r="G86" i="6" s="1"/>
  <c r="F67" i="6"/>
  <c r="G67" i="6" s="1"/>
  <c r="F68" i="6"/>
  <c r="G68" i="6" s="1"/>
  <c r="F69" i="6"/>
  <c r="G69" i="6" s="1"/>
  <c r="F70" i="6"/>
  <c r="G70" i="6" s="1"/>
  <c r="F71" i="6"/>
  <c r="G71" i="6" s="1"/>
  <c r="F66" i="6"/>
  <c r="G66" i="6" s="1"/>
  <c r="AA20" i="8" l="1"/>
  <c r="F99" i="6"/>
  <c r="G99" i="6" s="1"/>
  <c r="F65" i="6"/>
  <c r="G65" i="6" s="1"/>
  <c r="F64" i="6"/>
  <c r="G64" i="6" s="1"/>
  <c r="F63" i="6"/>
  <c r="G63" i="6" s="1"/>
  <c r="F62" i="6"/>
  <c r="G62" i="6" s="1"/>
  <c r="F61" i="6"/>
  <c r="G61" i="6" s="1"/>
  <c r="F60" i="6"/>
  <c r="G60" i="6" s="1"/>
  <c r="F59" i="6"/>
  <c r="G59" i="6" s="1"/>
  <c r="F58" i="6"/>
  <c r="G58" i="6" s="1"/>
  <c r="F57" i="6"/>
  <c r="G57" i="6" s="1"/>
  <c r="F37" i="6"/>
  <c r="G37" i="6" s="1"/>
  <c r="F36" i="6"/>
  <c r="G36" i="6" s="1"/>
  <c r="F35" i="6"/>
  <c r="G35" i="6" s="1"/>
  <c r="F34" i="6"/>
  <c r="G34" i="6" s="1"/>
  <c r="F33" i="6"/>
  <c r="G33" i="6" s="1"/>
  <c r="F32" i="6"/>
  <c r="G32" i="6" s="1"/>
  <c r="F31" i="6"/>
  <c r="G31" i="6" s="1"/>
  <c r="E58" i="1" l="1"/>
  <c r="F58" i="1" s="1"/>
  <c r="X30" i="8" s="1"/>
  <c r="U46" i="1"/>
  <c r="F100" i="6"/>
  <c r="G100" i="6" s="1"/>
  <c r="F43" i="6"/>
  <c r="G43" i="6" s="1"/>
  <c r="F20" i="6"/>
  <c r="G20" i="6" s="1"/>
  <c r="F19" i="6"/>
  <c r="G19" i="6" s="1"/>
  <c r="F18" i="6"/>
  <c r="G18" i="6" s="1"/>
  <c r="F17" i="6"/>
  <c r="G17" i="6" s="1"/>
  <c r="F16" i="6"/>
  <c r="G16" i="6" s="1"/>
  <c r="F15" i="6"/>
  <c r="G15" i="6" s="1"/>
  <c r="F14" i="6"/>
  <c r="G14" i="6" s="1"/>
  <c r="F13" i="6"/>
  <c r="G13" i="6" s="1"/>
  <c r="F12" i="6"/>
  <c r="G12" i="6" s="1"/>
  <c r="Y30" i="8" l="1"/>
  <c r="AA30" i="8" s="1"/>
  <c r="E57" i="1"/>
  <c r="F57" i="1" s="1"/>
  <c r="V29" i="8" s="1"/>
  <c r="D108" i="6"/>
  <c r="E108" i="6" s="1"/>
  <c r="E42" i="6"/>
  <c r="H42" i="6" s="1"/>
  <c r="E99" i="1"/>
  <c r="F99" i="1" s="1"/>
  <c r="D99" i="1"/>
  <c r="G99" i="1" s="1"/>
  <c r="F21" i="6"/>
  <c r="G21" i="6" s="1"/>
  <c r="E87" i="6"/>
  <c r="H87" i="6" s="1"/>
  <c r="E89" i="6"/>
  <c r="H89" i="6" s="1"/>
  <c r="E88" i="6"/>
  <c r="H88" i="6" s="1"/>
  <c r="E86" i="6"/>
  <c r="H86" i="6" s="1"/>
  <c r="E78" i="6"/>
  <c r="H78" i="6" s="1"/>
  <c r="E77" i="6"/>
  <c r="H77" i="6" s="1"/>
  <c r="E76" i="6"/>
  <c r="H76" i="6" s="1"/>
  <c r="E83" i="6"/>
  <c r="H83" i="6" s="1"/>
  <c r="E75" i="6"/>
  <c r="H75" i="6" s="1"/>
  <c r="E81" i="6"/>
  <c r="H81" i="6" s="1"/>
  <c r="E80" i="6"/>
  <c r="H80" i="6" s="1"/>
  <c r="E82" i="6"/>
  <c r="H82" i="6" s="1"/>
  <c r="E74" i="6"/>
  <c r="H74" i="6" s="1"/>
  <c r="E73" i="6"/>
  <c r="H73" i="6" s="1"/>
  <c r="E72" i="6"/>
  <c r="H72" i="6" s="1"/>
  <c r="E79" i="6"/>
  <c r="H79" i="6" s="1"/>
  <c r="E85" i="6"/>
  <c r="H85" i="6" s="1"/>
  <c r="E84" i="6"/>
  <c r="H84" i="6" s="1"/>
  <c r="E66" i="6"/>
  <c r="H66" i="6" s="1"/>
  <c r="E71" i="6"/>
  <c r="H71" i="6" s="1"/>
  <c r="E68" i="6"/>
  <c r="H68" i="6" s="1"/>
  <c r="E69" i="6"/>
  <c r="H69" i="6" s="1"/>
  <c r="E67" i="6"/>
  <c r="H67" i="6" s="1"/>
  <c r="E70" i="6"/>
  <c r="H70" i="6" s="1"/>
  <c r="E100" i="6"/>
  <c r="H100" i="6" s="1"/>
  <c r="E59" i="6"/>
  <c r="H59" i="6" s="1"/>
  <c r="E36" i="6"/>
  <c r="H36" i="6" s="1"/>
  <c r="E99" i="6"/>
  <c r="H99" i="6" s="1"/>
  <c r="E57" i="6"/>
  <c r="H57" i="6" s="1"/>
  <c r="E43" i="6"/>
  <c r="H43" i="6" s="1"/>
  <c r="E65" i="6"/>
  <c r="H65" i="6" s="1"/>
  <c r="E63" i="6"/>
  <c r="H63" i="6" s="1"/>
  <c r="E32" i="6"/>
  <c r="H32" i="6" s="1"/>
  <c r="E62" i="6"/>
  <c r="H62" i="6" s="1"/>
  <c r="E31" i="6"/>
  <c r="H31" i="6" s="1"/>
  <c r="E61" i="6"/>
  <c r="H61" i="6" s="1"/>
  <c r="E60" i="6"/>
  <c r="H60" i="6" s="1"/>
  <c r="E37" i="6"/>
  <c r="H37" i="6" s="1"/>
  <c r="E58" i="6"/>
  <c r="H58" i="6" s="1"/>
  <c r="E35" i="6"/>
  <c r="H35" i="6" s="1"/>
  <c r="E34" i="6"/>
  <c r="H34" i="6" s="1"/>
  <c r="E64" i="6"/>
  <c r="H64" i="6" s="1"/>
  <c r="E33" i="6"/>
  <c r="H33" i="6" s="1"/>
  <c r="E12" i="6"/>
  <c r="H12" i="6" s="1"/>
  <c r="E19" i="6"/>
  <c r="H19" i="6" s="1"/>
  <c r="E18" i="6"/>
  <c r="H18" i="6" s="1"/>
  <c r="E13" i="6"/>
  <c r="H13" i="6" s="1"/>
  <c r="E14" i="6"/>
  <c r="H14" i="6" s="1"/>
  <c r="E21" i="6"/>
  <c r="H21" i="6" s="1"/>
  <c r="E15" i="6"/>
  <c r="H15" i="6" s="1"/>
  <c r="E20" i="6"/>
  <c r="H20" i="6" s="1"/>
  <c r="E16" i="6"/>
  <c r="H16" i="6" s="1"/>
  <c r="E17" i="6"/>
  <c r="H17" i="6" s="1"/>
  <c r="W29" i="8" l="1"/>
  <c r="X29" i="8" s="1"/>
  <c r="Y29" i="8" s="1"/>
  <c r="D111" i="6"/>
  <c r="F108" i="6"/>
  <c r="F111" i="6" s="1"/>
  <c r="E111" i="6"/>
  <c r="H108" i="6"/>
  <c r="H111" i="6" s="1"/>
  <c r="AA29" i="8" l="1"/>
  <c r="E79" i="1"/>
  <c r="F79" i="1" s="1"/>
  <c r="P63" i="1"/>
  <c r="R56" i="1"/>
  <c r="G108" i="6"/>
  <c r="G111" i="6" s="1"/>
  <c r="E16" i="1"/>
  <c r="E64" i="1"/>
  <c r="F64" i="1" s="1"/>
  <c r="D64" i="1"/>
  <c r="G64" i="1" s="1"/>
  <c r="E63" i="1"/>
  <c r="D63" i="1"/>
  <c r="G63" i="1" s="1"/>
  <c r="E48" i="1"/>
  <c r="D48" i="1"/>
  <c r="E44" i="1"/>
  <c r="D44" i="1"/>
  <c r="E43" i="1"/>
  <c r="F43" i="1" s="1"/>
  <c r="G21" i="8" s="1"/>
  <c r="AA21" i="8" s="1"/>
  <c r="D43" i="1"/>
  <c r="G43" i="1" s="1"/>
  <c r="E33" i="1"/>
  <c r="F33" i="1" s="1"/>
  <c r="F17" i="8" s="1"/>
  <c r="D33" i="1"/>
  <c r="G33" i="1" s="1"/>
  <c r="G48" i="1" l="1"/>
  <c r="D47" i="1"/>
  <c r="F48" i="1"/>
  <c r="F47" i="1" s="1"/>
  <c r="G23" i="8" s="1"/>
  <c r="E47" i="1"/>
  <c r="AA17" i="8"/>
  <c r="E56" i="8"/>
  <c r="D56" i="8" s="1"/>
  <c r="E60" i="1"/>
  <c r="P71" i="1"/>
  <c r="C71" i="1" s="1"/>
  <c r="C73" i="1" s="1"/>
  <c r="C78" i="1" s="1"/>
  <c r="P64" i="1"/>
  <c r="P41" i="1"/>
  <c r="P33" i="1"/>
  <c r="P47" i="1"/>
  <c r="P69" i="1"/>
  <c r="F63" i="1"/>
  <c r="F62" i="1" s="1"/>
  <c r="E33" i="8" s="1"/>
  <c r="G44" i="1"/>
  <c r="F44" i="1"/>
  <c r="F22" i="8" s="1"/>
  <c r="G62" i="1"/>
  <c r="D62" i="1"/>
  <c r="E62" i="1"/>
  <c r="F33" i="8" l="1"/>
  <c r="G33" i="8" s="1"/>
  <c r="H33" i="8" s="1"/>
  <c r="I33" i="8" s="1"/>
  <c r="J33" i="8" s="1"/>
  <c r="K33" i="8" s="1"/>
  <c r="L33" i="8" s="1"/>
  <c r="M33" i="8" s="1"/>
  <c r="N33" i="8" s="1"/>
  <c r="O33" i="8" s="1"/>
  <c r="P33" i="8" s="1"/>
  <c r="AA33" i="8" s="1"/>
  <c r="E40" i="8"/>
  <c r="H23" i="8"/>
  <c r="I23" i="8" s="1"/>
  <c r="J23" i="8" s="1"/>
  <c r="K23" i="8" s="1"/>
  <c r="L23" i="8" s="1"/>
  <c r="M23" i="8" s="1"/>
  <c r="N23" i="8" s="1"/>
  <c r="O23" i="8" s="1"/>
  <c r="G22" i="8"/>
  <c r="AA22" i="8" s="1"/>
  <c r="F60" i="1"/>
  <c r="R50" i="1" s="1"/>
  <c r="E96" i="1"/>
  <c r="F40" i="8" l="1"/>
  <c r="E57" i="8"/>
  <c r="P23" i="8"/>
  <c r="Q23" i="8" s="1"/>
  <c r="R23" i="8" s="1"/>
  <c r="S23" i="8" s="1"/>
  <c r="T23" i="8" s="1"/>
  <c r="U23" i="8" s="1"/>
  <c r="V23" i="8" s="1"/>
  <c r="W23" i="8" s="1"/>
  <c r="X23" i="8" s="1"/>
  <c r="Y23" i="8" s="1"/>
  <c r="Z23" i="8" s="1"/>
  <c r="F57" i="8" s="1"/>
  <c r="L96" i="1"/>
  <c r="D95" i="1" s="1"/>
  <c r="G95" i="1" s="1"/>
  <c r="L95" i="1"/>
  <c r="D94" i="1" s="1"/>
  <c r="G94" i="1" s="1"/>
  <c r="L94" i="1"/>
  <c r="D93" i="1" s="1"/>
  <c r="G93" i="1" s="1"/>
  <c r="E98" i="1"/>
  <c r="F98" i="1" s="1"/>
  <c r="E97" i="1"/>
  <c r="F97" i="1" s="1"/>
  <c r="D98" i="1"/>
  <c r="G98" i="1" s="1"/>
  <c r="D97" i="1"/>
  <c r="G97" i="1" s="1"/>
  <c r="D96" i="1"/>
  <c r="G96" i="1" s="1"/>
  <c r="F96" i="1"/>
  <c r="D57" i="8" l="1"/>
  <c r="AA23" i="8"/>
  <c r="E56" i="1"/>
  <c r="F56" i="1" s="1"/>
  <c r="Q28" i="8" s="1"/>
  <c r="D56" i="1"/>
  <c r="G56" i="1" s="1"/>
  <c r="E93" i="1"/>
  <c r="F93" i="1" s="1"/>
  <c r="E95" i="1"/>
  <c r="F95" i="1" s="1"/>
  <c r="E94" i="1"/>
  <c r="F94" i="1" s="1"/>
  <c r="L93" i="1"/>
  <c r="R28" i="8" l="1"/>
  <c r="S28" i="8" s="1"/>
  <c r="T28" i="8" s="1"/>
  <c r="U28" i="8" s="1"/>
  <c r="D92" i="1"/>
  <c r="E92" i="1"/>
  <c r="F92" i="1" s="1"/>
  <c r="D55" i="1"/>
  <c r="G55" i="1" s="1"/>
  <c r="D17" i="1"/>
  <c r="G17" i="1" s="1"/>
  <c r="D16" i="1"/>
  <c r="AA28" i="8" l="1"/>
  <c r="D23" i="1"/>
  <c r="G92" i="1"/>
  <c r="G91" i="1" s="1"/>
  <c r="G101" i="1" s="1"/>
  <c r="G16" i="1"/>
  <c r="G23" i="1" s="1"/>
  <c r="G47" i="1"/>
  <c r="G52" i="1" s="1"/>
  <c r="D52" i="1"/>
  <c r="G27" i="1"/>
  <c r="E91" i="1"/>
  <c r="D91" i="1"/>
  <c r="D101" i="1" s="1"/>
  <c r="D29" i="1"/>
  <c r="E101" i="1" l="1"/>
  <c r="F91" i="1"/>
  <c r="F101" i="1" s="1"/>
  <c r="D54" i="1"/>
  <c r="E54" i="1"/>
  <c r="P28" i="1" l="1"/>
  <c r="R28" i="1" s="1"/>
  <c r="P36" i="1"/>
  <c r="P44" i="1"/>
  <c r="P52" i="1"/>
  <c r="G54" i="1"/>
  <c r="G60" i="1" s="1"/>
  <c r="D60" i="1"/>
  <c r="F54" i="1"/>
  <c r="G26" i="8" s="1"/>
  <c r="D79" i="1"/>
  <c r="H26" i="8" l="1"/>
  <c r="E55" i="1"/>
  <c r="E17" i="1"/>
  <c r="E23" i="1" s="1"/>
  <c r="F16" i="1"/>
  <c r="V77" i="1" l="1"/>
  <c r="I26" i="8"/>
  <c r="F17" i="1"/>
  <c r="F23" i="1" s="1"/>
  <c r="F55" i="1"/>
  <c r="U27" i="8" s="1"/>
  <c r="I47" i="1"/>
  <c r="G29" i="1"/>
  <c r="G79" i="1"/>
  <c r="V27" i="8" l="1"/>
  <c r="W27" i="8" s="1"/>
  <c r="X27" i="8" s="1"/>
  <c r="J26" i="8"/>
  <c r="E71" i="1"/>
  <c r="E73" i="1" s="1"/>
  <c r="E78" i="1" s="1"/>
  <c r="D71" i="1"/>
  <c r="I71" i="1"/>
  <c r="I64" i="1"/>
  <c r="I63" i="1"/>
  <c r="I44" i="1"/>
  <c r="AA27" i="8" l="1"/>
  <c r="F78" i="1"/>
  <c r="O78" i="1" s="1"/>
  <c r="F73" i="1"/>
  <c r="K26" i="8"/>
  <c r="G65" i="1"/>
  <c r="G77" i="1" s="1"/>
  <c r="D65" i="1"/>
  <c r="G71" i="1"/>
  <c r="F71" i="1"/>
  <c r="G35" i="8" s="1"/>
  <c r="I65" i="1"/>
  <c r="H35" i="8" l="1"/>
  <c r="G40" i="8"/>
  <c r="L26" i="8"/>
  <c r="D73" i="1"/>
  <c r="D78" i="1" s="1"/>
  <c r="D77" i="1"/>
  <c r="G73" i="1"/>
  <c r="G78" i="1" s="1"/>
  <c r="I35" i="8" l="1"/>
  <c r="H40" i="8"/>
  <c r="M26" i="8"/>
  <c r="N26" i="8" l="1"/>
  <c r="E58" i="8" s="1"/>
  <c r="J35" i="8"/>
  <c r="I40" i="8"/>
  <c r="K35" i="8" l="1"/>
  <c r="J40" i="8"/>
  <c r="O26" i="8"/>
  <c r="P26" i="8" l="1"/>
  <c r="L35" i="8"/>
  <c r="K40" i="8"/>
  <c r="M35" i="8" l="1"/>
  <c r="L40" i="8"/>
  <c r="Q26" i="8"/>
  <c r="R26" i="8" l="1"/>
  <c r="N35" i="8"/>
  <c r="E59" i="8" s="1"/>
  <c r="E61" i="8" s="1"/>
  <c r="M40" i="8"/>
  <c r="O35" i="8" l="1"/>
  <c r="N40" i="8"/>
  <c r="D46" i="8" s="1"/>
  <c r="S26" i="8"/>
  <c r="C46" i="8" l="1"/>
  <c r="T26" i="8"/>
  <c r="P35" i="8"/>
  <c r="O40" i="8"/>
  <c r="Q35" i="8" l="1"/>
  <c r="P40" i="8"/>
  <c r="U26" i="8"/>
  <c r="V26" i="8" l="1"/>
  <c r="R35" i="8"/>
  <c r="Q40" i="8"/>
  <c r="S35" i="8" l="1"/>
  <c r="R40" i="8"/>
  <c r="W26" i="8"/>
  <c r="X26" i="8" l="1"/>
  <c r="T35" i="8"/>
  <c r="S40" i="8"/>
  <c r="U35" i="8" l="1"/>
  <c r="T40" i="8"/>
  <c r="Y26" i="8"/>
  <c r="Z26" i="8" l="1"/>
  <c r="V35" i="8"/>
  <c r="U40" i="8"/>
  <c r="W35" i="8" l="1"/>
  <c r="V40" i="8"/>
  <c r="F58" i="8"/>
  <c r="AA26" i="8"/>
  <c r="D58" i="8" l="1"/>
  <c r="X35" i="8"/>
  <c r="W40" i="8"/>
  <c r="Y35" i="8" l="1"/>
  <c r="X40" i="8"/>
  <c r="Z35" i="8" l="1"/>
  <c r="Y40" i="8"/>
  <c r="AA35" i="8" l="1"/>
  <c r="AA40" i="8" s="1"/>
  <c r="F59" i="8"/>
  <c r="Z40" i="8"/>
  <c r="D47" i="8" s="1"/>
  <c r="C47" i="8" l="1"/>
  <c r="C48" i="8" s="1"/>
  <c r="D48" i="8"/>
  <c r="D59" i="8"/>
  <c r="D61" i="8" s="1"/>
  <c r="F61" i="8"/>
</calcChain>
</file>

<file path=xl/sharedStrings.xml><?xml version="1.0" encoding="utf-8"?>
<sst xmlns="http://schemas.openxmlformats.org/spreadsheetml/2006/main" count="640" uniqueCount="388">
  <si>
    <t>Nr. crt.</t>
  </si>
  <si>
    <t>Denumirea capitolelor şi subcapitolelor de cheltuieli</t>
  </si>
  <si>
    <t>Valoare fără TVA</t>
  </si>
  <si>
    <t>TVA</t>
  </si>
  <si>
    <t>Valoare cu TVA</t>
  </si>
  <si>
    <t>1</t>
  </si>
  <si>
    <t>2</t>
  </si>
  <si>
    <t>3</t>
  </si>
  <si>
    <t>4</t>
  </si>
  <si>
    <t>5</t>
  </si>
  <si>
    <t>1.1</t>
  </si>
  <si>
    <t>1.3</t>
  </si>
  <si>
    <t>Amenajarea terenului</t>
  </si>
  <si>
    <t>Total capitol 1</t>
  </si>
  <si>
    <t>DEVIZ GENERAL</t>
  </si>
  <si>
    <t>Proiectant,</t>
  </si>
  <si>
    <t>lei</t>
  </si>
  <si>
    <t>(denumirea obiectivului de investiţii)</t>
  </si>
  <si>
    <t>Total capitol 2</t>
  </si>
  <si>
    <t>CAPITOLUL 3 Cheltuieli pentru proiectare şi asistenţă tehnică</t>
  </si>
  <si>
    <t>3.1</t>
  </si>
  <si>
    <t>3.2</t>
  </si>
  <si>
    <t>Total capitol 3</t>
  </si>
  <si>
    <t>3.3</t>
  </si>
  <si>
    <t>3.4</t>
  </si>
  <si>
    <t>Proiectare</t>
  </si>
  <si>
    <t>3.5</t>
  </si>
  <si>
    <t>3.6</t>
  </si>
  <si>
    <t>3.7</t>
  </si>
  <si>
    <t>Asistenţă tehnică</t>
  </si>
  <si>
    <t>3.8</t>
  </si>
  <si>
    <t>CAPITOLUL 4 Cheltuieli pentru investiţia de bază</t>
  </si>
  <si>
    <t>4.1</t>
  </si>
  <si>
    <t>4.2</t>
  </si>
  <si>
    <t>4.3</t>
  </si>
  <si>
    <t>4.4</t>
  </si>
  <si>
    <t>4.5</t>
  </si>
  <si>
    <t>Construcţii şi instalaţii</t>
  </si>
  <si>
    <t>Total capitol 4</t>
  </si>
  <si>
    <t>Total capitol 5</t>
  </si>
  <si>
    <t>CAPITOLUL 5 Alte cheltuieli</t>
  </si>
  <si>
    <t>Organizare de şantier</t>
  </si>
  <si>
    <t>5.1</t>
  </si>
  <si>
    <t>5.2</t>
  </si>
  <si>
    <t>Cheltuieli diverse şi neprevăzute</t>
  </si>
  <si>
    <t>5.3</t>
  </si>
  <si>
    <t>Total capitol 6</t>
  </si>
  <si>
    <t>TOTAL GENERAL</t>
  </si>
  <si>
    <t>6</t>
  </si>
  <si>
    <t>7</t>
  </si>
  <si>
    <t>mii euro</t>
  </si>
  <si>
    <t>mii lei</t>
  </si>
  <si>
    <t>1 EURO =</t>
  </si>
  <si>
    <t>0.5% din C+M</t>
  </si>
  <si>
    <t>privind cheltuielile necesare obiectivului de investiţii:</t>
  </si>
  <si>
    <t>1.5% din C+M</t>
  </si>
  <si>
    <t>1 % din C+M</t>
  </si>
  <si>
    <t>10 % din Cap.2,3,4</t>
  </si>
  <si>
    <t>neeligibil</t>
  </si>
  <si>
    <t>conform contract</t>
  </si>
  <si>
    <t>conform chitante</t>
  </si>
  <si>
    <t>conform oferte</t>
  </si>
  <si>
    <t>5.1.1. Lucrări de construcţii şi instalaţii aferente organizării de şantier</t>
  </si>
  <si>
    <t>3% din Cap. 4</t>
  </si>
  <si>
    <t>4.1.2 Rezistenta</t>
  </si>
  <si>
    <t xml:space="preserve">Montaj utilaje, echipamente tehnologice și funcționale </t>
  </si>
  <si>
    <t>Utilaje, echipamente tehnologice și funcționale care necesită montaj</t>
  </si>
  <si>
    <t>Utilaje, echipamente tehnologice și funcționale care nu necesită montaj și echipamente de transport</t>
  </si>
  <si>
    <t>Dotari</t>
  </si>
  <si>
    <t>4.1.3 Arhitectura</t>
  </si>
  <si>
    <t>4.1.4 Instalatii</t>
  </si>
  <si>
    <t>CAPITOLUL 4 - INVESTITIA DE BAZA</t>
  </si>
  <si>
    <t>conform contract de executie</t>
  </si>
  <si>
    <t>conform contract prestari servicii</t>
  </si>
  <si>
    <t>conform contract proiectare, studiu de fezabilitate si proiect tehnic</t>
  </si>
  <si>
    <t>LEI CONFORM ESTIMARI</t>
  </si>
  <si>
    <t>10% -15% din cap 4.3</t>
  </si>
  <si>
    <t>Proiectant:</t>
  </si>
  <si>
    <t>Nr crt</t>
  </si>
  <si>
    <t>Denumirea capitolelor si subcapitolelor de cheltuieli</t>
  </si>
  <si>
    <t>VALOARE FARA TVA</t>
  </si>
  <si>
    <t>VALOARE CU TVA</t>
  </si>
  <si>
    <t>mii EURO</t>
  </si>
  <si>
    <t xml:space="preserve">4.3. LISTA DE UTILAJE TEHNOLOGICE CU MONTAJ </t>
  </si>
  <si>
    <t>1 EURO=</t>
  </si>
  <si>
    <t>(HG 907/29.11.2016)</t>
  </si>
  <si>
    <t>ELIGIBIL</t>
  </si>
  <si>
    <t>Data curs euro conform ECB / 10.02.2017</t>
  </si>
  <si>
    <t xml:space="preserve">4.4. LISTA DE UTILAJE TEHNOLOGICE FARA MONTAJ </t>
  </si>
  <si>
    <t>4.5. LISTA DE DOTARI</t>
  </si>
  <si>
    <t>TREBUIE SA NE INCADRAM IN 132.345 LEI</t>
  </si>
  <si>
    <t xml:space="preserve">4.2 montaj </t>
  </si>
  <si>
    <t xml:space="preserve">TOTAL 4.2 </t>
  </si>
  <si>
    <t>4.6.</t>
  </si>
  <si>
    <t xml:space="preserve">ACTIVE NECORPORALE </t>
  </si>
  <si>
    <t xml:space="preserve">TOTAL 4.5. </t>
  </si>
  <si>
    <t xml:space="preserve">TOTAL 4.4. </t>
  </si>
  <si>
    <t>TOTAL 4.3</t>
  </si>
  <si>
    <t>4.1.1 Terasamente</t>
  </si>
  <si>
    <t xml:space="preserve">CAPITOLUL 2 Cheltuieli pentru asigurarea utilităţilor necesare obiectivului </t>
  </si>
  <si>
    <t>10% CAP 4</t>
  </si>
  <si>
    <t>Consultanta</t>
  </si>
  <si>
    <t>5.1.2. Cheltuieli conexe organizării de santier</t>
  </si>
  <si>
    <t>limita a 10000 lei inclusiv TVA</t>
  </si>
  <si>
    <t>EXTINDERE, REABILITARE, MODERNIZARE SI DOTARE GRADINITA CU PROGRAM NORMAL DIN SAT LUNGESTI, COMUNA LUNGESTI, JUDETUL VALCEA</t>
  </si>
  <si>
    <t>CAPITOLUL 1 Cheltuieli pentru obtinerea si amenajarea terenului</t>
  </si>
  <si>
    <t>Obtinerea terenului</t>
  </si>
  <si>
    <t>1.2</t>
  </si>
  <si>
    <t>Amenajari pentru protectia mediului si aducerea la starea initiala</t>
  </si>
  <si>
    <t>1.4</t>
  </si>
  <si>
    <t>Cheltuieli pentru relocarea/ protectia utilitatilor</t>
  </si>
  <si>
    <t xml:space="preserve">Studii </t>
  </si>
  <si>
    <t>3.1.1 Studii de teren</t>
  </si>
  <si>
    <t>3.1.2 Raport privind impactul asupra mediului</t>
  </si>
  <si>
    <t>3.1.3 Alte studii de specialitate</t>
  </si>
  <si>
    <t>Documentatii-suport si cheltuieli pentru obtinerea de avize, acorduri si autorizatii</t>
  </si>
  <si>
    <t>Expertiza tehnica</t>
  </si>
  <si>
    <t>Certificarea performantei energetice si auditul energetic al cladirilor</t>
  </si>
  <si>
    <t>3.5.1 Tema de proiectare</t>
  </si>
  <si>
    <t>3.5.3 Studiu de fezabilitate / documentatie de avizare a lucrarilor de interventii si deviz general</t>
  </si>
  <si>
    <t>3.5.4 Documentatiile tehnice necesare in vederea obtinerii avizelor / acordurilor / autorizatiilor</t>
  </si>
  <si>
    <t>3.5.6 Proiect tehnic si detalii de executie</t>
  </si>
  <si>
    <t>Organizarea procedurilor de achizitie</t>
  </si>
  <si>
    <t>3.7.1 Managementul de proiect pentru obiectivul de investitii</t>
  </si>
  <si>
    <t>3.7.2 Auditul financiar</t>
  </si>
  <si>
    <t>3.8.1. Asistenta tehnica din partea proiectantului</t>
  </si>
  <si>
    <t>3.8.1.1 pe perioada de executie a lucrarilor</t>
  </si>
  <si>
    <t>3.8.1.2 pentru participarea proiectantului la fazele incluse in programul de control al lucrarilor de axecutie, avizat de catre Inspectoratul de Stat in Constructii</t>
  </si>
  <si>
    <t>3.8.2. Dirigentie de santier</t>
  </si>
  <si>
    <t>Montaj utilaje, echipamente tehnologice si functionale</t>
  </si>
  <si>
    <t>Utilaje, echipamente tehnologice si functionale care necesita montaj</t>
  </si>
  <si>
    <t>Utilaje, echipamente tehnologice si functionale care nu necesita montaj si echipamente de transport</t>
  </si>
  <si>
    <t>4.6</t>
  </si>
  <si>
    <t>Active necorporale</t>
  </si>
  <si>
    <t>Comisioane, cote, taxe, costul creditului</t>
  </si>
  <si>
    <t>5.2.1 Comisioanele si dobanzile aferente creditului bancii finantatoare</t>
  </si>
  <si>
    <t>5.2.2 Cota aferenta ISC pentru controlul calitatii lucrarilor de constructii</t>
  </si>
  <si>
    <t>5.2.3 Cota aferenta ISC pentru controlul statului in amenajarea teritoriului, urbanism si pentru autorizarea lucrarilor de constructii</t>
  </si>
  <si>
    <t>5.2.4 Cota aferenta casei Sociale a Constructorilor - CSC</t>
  </si>
  <si>
    <t>5.2.5 Taxe pentru acorduri, avize conforme si autorizatia de construire / desfiintare</t>
  </si>
  <si>
    <t>5.4</t>
  </si>
  <si>
    <t>Cheltuieli pentru informare si publicitate</t>
  </si>
  <si>
    <t>CAPITOLUL 6 Cheltuieli pentru probe tehnologice si teste</t>
  </si>
  <si>
    <t>6.1</t>
  </si>
  <si>
    <t>Pregatirea personalului de exploatare</t>
  </si>
  <si>
    <t>6.2</t>
  </si>
  <si>
    <t>Probe tehnologice si teste</t>
  </si>
  <si>
    <t xml:space="preserve"> lei</t>
  </si>
  <si>
    <t>4.6575</t>
  </si>
  <si>
    <t xml:space="preserve"> din care C + M (1.2 + 1.3 +1.4 + 2 + 4.1 + 4.2 + 5.1.1)</t>
  </si>
  <si>
    <t>3.5.5 Verificarea tehnica de calitate a proiectului tehnic si a detaliilor de executie</t>
  </si>
  <si>
    <t>1% din C+M</t>
  </si>
  <si>
    <t>1% din cap. 4</t>
  </si>
  <si>
    <t>3% din cap. 4</t>
  </si>
  <si>
    <t>10% din PTh</t>
  </si>
  <si>
    <t>10% din cap. 4</t>
  </si>
  <si>
    <t>0.007* Cap 4.1</t>
  </si>
  <si>
    <t>0.001* Cap 4.1</t>
  </si>
  <si>
    <t>0.005* C+M</t>
  </si>
  <si>
    <t>10%* cap 2, 3, 4</t>
  </si>
  <si>
    <t>3.5.2 Studiu de prefezabilitate</t>
  </si>
  <si>
    <t>SISTEM AVERIZARE LA INCENDIU</t>
  </si>
  <si>
    <t>SCENA MODULARA</t>
  </si>
  <si>
    <t>AER CONDITIONAT</t>
  </si>
  <si>
    <t>SISTEM SUPRAVEGHERE VIDEO</t>
  </si>
  <si>
    <t>ALARMA ANTIEFRACTIE</t>
  </si>
  <si>
    <t>CENTRALA TERMICA LEMNE</t>
  </si>
  <si>
    <t>PARATRAZNET</t>
  </si>
  <si>
    <t/>
  </si>
  <si>
    <t>CAMERA VIDEO</t>
  </si>
  <si>
    <t>APARAT FOTO</t>
  </si>
  <si>
    <t>ASPIRATOR</t>
  </si>
  <si>
    <t>IMPRIMANTA</t>
  </si>
  <si>
    <t xml:space="preserve">TELEFON </t>
  </si>
  <si>
    <t>VIDEOPROIECTOR</t>
  </si>
  <si>
    <t>CAMERA FRIGORIFICA PENTRU LAPTE</t>
  </si>
  <si>
    <t>SISTEM AUDIO (BOXE, MICROFOANE )</t>
  </si>
  <si>
    <t>CD PLAYER</t>
  </si>
  <si>
    <t xml:space="preserve">LAPTOP     </t>
  </si>
  <si>
    <t xml:space="preserve"> LEI</t>
  </si>
  <si>
    <t>LEI</t>
  </si>
  <si>
    <t>MASA DE SEDINTA 6 LOCURI</t>
  </si>
  <si>
    <t>SCAUNE TAPITATE CANCELARIE</t>
  </si>
  <si>
    <t>CUIER 10 AGATATORI</t>
  </si>
  <si>
    <t>SCAUN BIROU CONDUCERE</t>
  </si>
  <si>
    <t xml:space="preserve">DULAP PROFESORI CU CHEIE CANCELARIE </t>
  </si>
  <si>
    <t xml:space="preserve">CATEDRA </t>
  </si>
  <si>
    <t>SCAUN EDUCATORI</t>
  </si>
  <si>
    <t>TABLA  MAGNETICA ALBA 90/120</t>
  </si>
  <si>
    <t>DULAPURI PENTRU RECHIZITE SI MATERIALE DIDACTICE, 2 BUC PENTRU FIECARE CLASA</t>
  </si>
  <si>
    <t>DULAP METALIC  ARHIVA</t>
  </si>
  <si>
    <t>RAFT PENTRU CORNURI ( PANIFICATIE)</t>
  </si>
  <si>
    <t>MASA PT CAMERA CORN SI LAPTE</t>
  </si>
  <si>
    <t xml:space="preserve">SCAUNE COPII </t>
  </si>
  <si>
    <t>DULAP CABINET MEDICAL CU DOUA USI SI CHEIE</t>
  </si>
  <si>
    <t>DULAP SERTAR CABINET MEDICAL</t>
  </si>
  <si>
    <t xml:space="preserve">BIROU CABINET MEDICAL </t>
  </si>
  <si>
    <t>MASUTE PATRATE</t>
  </si>
  <si>
    <t>SCAUN CABINET MEDICAL / PT MEDIC</t>
  </si>
  <si>
    <t>SCAUN PACIENT</t>
  </si>
  <si>
    <t xml:space="preserve">PAT CABINET MEDICAL </t>
  </si>
  <si>
    <t>SCAUNE DIN BURETE PT ZONA DE ACTIVITATE</t>
  </si>
  <si>
    <t xml:space="preserve">PANOU DIN PLUTA 60/100 </t>
  </si>
  <si>
    <t>PANOU INFORMATIV INTERIOR HOL</t>
  </si>
  <si>
    <t>PANOU INFORMATIV INFORMARE EXTERIOR</t>
  </si>
  <si>
    <t>DULAP DEPOZITARE JUCARII CU CUTII 2 PT FIECARE CLASA</t>
  </si>
  <si>
    <t xml:space="preserve">COVOR INTERACTIV CU LITERE SI CIFRE </t>
  </si>
  <si>
    <t>BIBLOTECA COLTUL DE LECTURA 90/40*120</t>
  </si>
  <si>
    <t>PERDELE CLASA CU PERSONAJE DIN DESENE ANIMATE</t>
  </si>
  <si>
    <t>DULAP COPII HOL PENTRU FIECARE CLASA(3) A CATE 20 DE COPII</t>
  </si>
  <si>
    <t>DULAP CASUTA PAL COLORAT</t>
  </si>
  <si>
    <t>DRAPERII</t>
  </si>
  <si>
    <t>BIROU CONDUCERE (CORP UNITATE CALCULATOR, FARA SPATE SI PREVAZUT CU USA SI UN MIC SPATIU DEPOZITARE; TASTATURA GLISANTA; CORP CU 3 SERTARE SI 2 SPATII DE DEPOZITARE; PAL)</t>
  </si>
  <si>
    <t>DULAP PSI (NICOVALA GALEATA, CASCA ETC.)</t>
  </si>
  <si>
    <t>BIBLIOTECA BIROU CONDUCERE 240/ 180 H</t>
  </si>
  <si>
    <t>RAFTURI CAMERA DEPOZITARE DEPOZITARE 3M LUNGIME</t>
  </si>
  <si>
    <t xml:space="preserve">DULAPURI CU USI SI RAFTURI PENTRU CAMERA DE DEPOZITARE 3M LUNGIME </t>
  </si>
  <si>
    <t>SISTEM SOLAR</t>
  </si>
  <si>
    <t>93516.06+739745.05</t>
  </si>
  <si>
    <t>Montaj</t>
  </si>
  <si>
    <t>SINA D ALUMINIU SI SISTEM DE PRINDERE PERDELE</t>
  </si>
  <si>
    <t>CORTINA SALA DE SPECTACOLE /din material de draperie 12 ML</t>
  </si>
  <si>
    <t xml:space="preserve">Nr crt </t>
  </si>
  <si>
    <t xml:space="preserve">Tip dotare </t>
  </si>
  <si>
    <t>UM</t>
  </si>
  <si>
    <t xml:space="preserve">Cantitate </t>
  </si>
  <si>
    <t>denumire ofertant</t>
  </si>
  <si>
    <t>oferta 1 pret</t>
  </si>
  <si>
    <t>oferta 2 pret</t>
  </si>
  <si>
    <t>oferta 3 pret</t>
  </si>
  <si>
    <t>oferta 4 pret</t>
  </si>
  <si>
    <t>dimensiuni</t>
  </si>
  <si>
    <t>Pret/UM (lei)</t>
  </si>
  <si>
    <t>Pret total (lei)</t>
  </si>
  <si>
    <t>masa de sedinta 6 locuri</t>
  </si>
  <si>
    <t>buc</t>
  </si>
  <si>
    <t>SC EURODIDACTICA SRL</t>
  </si>
  <si>
    <t>TITAN TRACO SA</t>
  </si>
  <si>
    <t>scaune tapitate cancelarie</t>
  </si>
  <si>
    <t>OMFAL EDUCATIONAL SRL</t>
  </si>
  <si>
    <t>cuier 10 agatatori</t>
  </si>
  <si>
    <t>scaun birou conducere</t>
  </si>
  <si>
    <t xml:space="preserve">dulap profesori cu cheie cancelarie </t>
  </si>
  <si>
    <t xml:space="preserve">catedra </t>
  </si>
  <si>
    <t>scaun educatori</t>
  </si>
  <si>
    <t>tabla  magnetica alba 90/120</t>
  </si>
  <si>
    <t>dulap copii hol pentru fiecare clasa(3) a cate 20 de copii</t>
  </si>
  <si>
    <t>SC EURODIDACTICA SRL (include si bancutele)</t>
  </si>
  <si>
    <t>TITAN TRACO SA (dulapul si bancuta sunt separate, insa suma lor este cea mai mica oferta)</t>
  </si>
  <si>
    <t xml:space="preserve">bancute hol </t>
  </si>
  <si>
    <t>dulapuri pentru rechizite si materiale didactice, 2 buc pentru fiecare clasa</t>
  </si>
  <si>
    <t>dulap metalic  arhiva</t>
  </si>
  <si>
    <t>raft pentru cornuri ( panificatie)</t>
  </si>
  <si>
    <t>masa pt camera corn si lapte</t>
  </si>
  <si>
    <t xml:space="preserve">scaune copii </t>
  </si>
  <si>
    <r>
      <t xml:space="preserve">masute  dreptunghiularae/  </t>
    </r>
    <r>
      <rPr>
        <sz val="11"/>
        <color theme="8" tint="-0.249977111117893"/>
        <rFont val="Calibri"/>
        <family val="2"/>
        <charset val="238"/>
        <scheme val="minor"/>
      </rPr>
      <t>patrate</t>
    </r>
  </si>
  <si>
    <r>
      <t xml:space="preserve">SC EURODIDACTICA SRL </t>
    </r>
    <r>
      <rPr>
        <sz val="11"/>
        <color rgb="FFFF0000"/>
        <rFont val="Calibri"/>
        <family val="2"/>
        <charset val="238"/>
        <scheme val="minor"/>
      </rPr>
      <t>(masa patrata)</t>
    </r>
  </si>
  <si>
    <r>
      <t xml:space="preserve">OMFAL EDUCATIONAL SRL </t>
    </r>
    <r>
      <rPr>
        <sz val="11"/>
        <color rgb="FFFF0000"/>
        <rFont val="Calibri"/>
        <family val="2"/>
        <charset val="238"/>
        <scheme val="minor"/>
      </rPr>
      <t>(masa dreptunghiulara prea mare</t>
    </r>
    <r>
      <rPr>
        <sz val="11"/>
        <color theme="1"/>
        <rFont val="Calibri"/>
        <family val="2"/>
        <charset val="238"/>
        <scheme val="minor"/>
      </rPr>
      <t>)</t>
    </r>
  </si>
  <si>
    <t>cortina sala de spectacole /din material de draperie 12 ML</t>
  </si>
  <si>
    <t>SC DECORA DESINGN SRL</t>
  </si>
  <si>
    <t>SC INSIDE HOME COM SRL</t>
  </si>
  <si>
    <t>5862.78</t>
  </si>
  <si>
    <t>dulap cabinet medical cu doua usi si cheie</t>
  </si>
  <si>
    <t>dulap sertar cabinet medical</t>
  </si>
  <si>
    <t xml:space="preserve">birou cabinet medical </t>
  </si>
  <si>
    <t>scaun cabinet medical / pt medic</t>
  </si>
  <si>
    <t>scaun pacient</t>
  </si>
  <si>
    <t xml:space="preserve">pat cabinet medical </t>
  </si>
  <si>
    <t>scaune din burete pt zona de activitate</t>
  </si>
  <si>
    <t xml:space="preserve">panou din pluta 60/100 </t>
  </si>
  <si>
    <t>panou informativ interior hol</t>
  </si>
  <si>
    <t>panou informativ informare exterior</t>
  </si>
  <si>
    <t>dulap depozitare jucarii cu cutii 2 pt fiecare clasa</t>
  </si>
  <si>
    <t xml:space="preserve">covor interactiv cu litere si cifre </t>
  </si>
  <si>
    <t>bibloteca coltul de lectura 90/40*120</t>
  </si>
  <si>
    <t>perdele clasa cu personaje din desene animate si accesori</t>
  </si>
  <si>
    <t>draperii</t>
  </si>
  <si>
    <t>accesorii/ sina din aluminiu</t>
  </si>
  <si>
    <t>bibloteca birou conducere 240/ 180 h</t>
  </si>
  <si>
    <t>birou conducere (corp unitate calculator, fara spate si prevazut cu usa si un mic spatiu depozitare; tastatura glisanta; corp cu 3 sertare si 2 spatii de depozitare; pal)</t>
  </si>
  <si>
    <r>
      <t>TITAN TRACO SA</t>
    </r>
    <r>
      <rPr>
        <sz val="11"/>
        <color rgb="FFFF0000"/>
        <rFont val="Calibri"/>
        <family val="2"/>
        <charset val="238"/>
        <scheme val="minor"/>
      </rPr>
      <t xml:space="preserve"> (doar biroul)</t>
    </r>
  </si>
  <si>
    <r>
      <t xml:space="preserve">OMFAL EDUCATIONAL SRL </t>
    </r>
    <r>
      <rPr>
        <sz val="11"/>
        <color rgb="FFFF0000"/>
        <rFont val="Calibri"/>
        <family val="2"/>
        <charset val="238"/>
        <scheme val="minor"/>
      </rPr>
      <t>(set mobilier cuprinde 2 dulapuri inalte cu 4 usi, 1 dulap inalt cu 2 usi si 2 rafturi, biblioteca medie cu 2 rafturi, biblioteca medie cu un raft si dulap, corp de colt mediu, birou cu dulap si sertar cu sistem de blocare)</t>
    </r>
  </si>
  <si>
    <t>rafturi camera depozitare depozitare 3m lungime</t>
  </si>
  <si>
    <t xml:space="preserve">dulapuri cu usi si rafturi pentru camera de depozitare 3m lungime </t>
  </si>
  <si>
    <t>Dulap PSI (nicovala galeata, casca etc.)</t>
  </si>
  <si>
    <t>SC JIENEL SRL</t>
  </si>
  <si>
    <t>echipamente</t>
  </si>
  <si>
    <t xml:space="preserve">laptop cancelarie + sala curs+ director       </t>
  </si>
  <si>
    <t>SC UNCLE SAM SRL</t>
  </si>
  <si>
    <t>SC PRAKTIKER ROMANIA SA</t>
  </si>
  <si>
    <t>GERMROM TRADING IMPORT EXPORT SRL</t>
  </si>
  <si>
    <t>aspirator</t>
  </si>
  <si>
    <t>SC DEDEMAN SRL</t>
  </si>
  <si>
    <t>imprimanta</t>
  </si>
  <si>
    <t xml:space="preserve">telefon </t>
  </si>
  <si>
    <t>aer conditionat</t>
  </si>
  <si>
    <t>videoproiector</t>
  </si>
  <si>
    <t>camera frigorifica pentru lapte</t>
  </si>
  <si>
    <t>SC DELTEH  SRL</t>
  </si>
  <si>
    <t>sistem audio (boxe, microfoane )</t>
  </si>
  <si>
    <t>sistem supraveghere video</t>
  </si>
  <si>
    <t xml:space="preserve">SC UNCLE SAM SRL </t>
  </si>
  <si>
    <t>ONESTORE ENERGY SRL</t>
  </si>
  <si>
    <t>CD Player</t>
  </si>
  <si>
    <t>alarma antiefractie</t>
  </si>
  <si>
    <t xml:space="preserve">buc </t>
  </si>
  <si>
    <t>ALTEX</t>
  </si>
  <si>
    <t>SC PRAKTIKER ROMANIA SA NU CORESPUNDE DETALLILOR SOLICITATE</t>
  </si>
  <si>
    <t>SC SCHWARTZ INTERNATIONAL CO SRL</t>
  </si>
  <si>
    <t>SC MEDIA CRUSHER SRL</t>
  </si>
  <si>
    <t xml:space="preserve">Total </t>
  </si>
  <si>
    <t xml:space="preserve">sanitara </t>
  </si>
  <si>
    <t>centrala termica lemne</t>
  </si>
  <si>
    <t>PROFRIG SRL</t>
  </si>
  <si>
    <t>paratraznet</t>
  </si>
  <si>
    <t>NETVOLT SRL</t>
  </si>
  <si>
    <t>KINGSPAN SOLAR</t>
  </si>
  <si>
    <t>GAMA INSTAL SRL</t>
  </si>
  <si>
    <t>PROINSTAL GRUP</t>
  </si>
  <si>
    <t>RON</t>
  </si>
  <si>
    <t>total dotari RON</t>
  </si>
  <si>
    <t>tva dotari 19%</t>
  </si>
  <si>
    <t>total cu TVA RON</t>
  </si>
  <si>
    <t>EURO 4,6575</t>
  </si>
  <si>
    <t>c+i</t>
  </si>
  <si>
    <t>cap 4</t>
  </si>
  <si>
    <t>Durata de realizare (luni) și etape de realizare</t>
  </si>
  <si>
    <t>Mii lei  - Luna</t>
  </si>
  <si>
    <t>LUNA/LUCRARI
mii LEI</t>
  </si>
  <si>
    <t>Total
mii LEI</t>
  </si>
  <si>
    <t>CAPITOLUL 1</t>
  </si>
  <si>
    <t>1.1 Obtinerea terenului</t>
  </si>
  <si>
    <t>1.2 Amenajarea terenului</t>
  </si>
  <si>
    <t>1.3 Amenajari pentru protectia mediului</t>
  </si>
  <si>
    <t>CAPITOLUL 2</t>
  </si>
  <si>
    <t>Cheltuieli pentru realizarea infrastructurii obiectivului</t>
  </si>
  <si>
    <t>2.1 Bransament energie electrica</t>
  </si>
  <si>
    <t xml:space="preserve">2.2 Bransament canalizare </t>
  </si>
  <si>
    <t xml:space="preserve">2.3 Bransament apa potabila </t>
  </si>
  <si>
    <t>CAPITOLUL 3</t>
  </si>
  <si>
    <t>Cheltuieli pentru proiectare si asistenta tehnica</t>
  </si>
  <si>
    <t>Studii</t>
  </si>
  <si>
    <t>Documentaţii-suport şi cheltuieli pentru obţinerea de avize, acorduri şi autorizaţii</t>
  </si>
  <si>
    <t>Expertizare tehnică</t>
  </si>
  <si>
    <t>Certif. perform. energ. şi auditul energetic</t>
  </si>
  <si>
    <t>Organizarea procedurilor de achiziţie</t>
  </si>
  <si>
    <t>Consultanţă</t>
  </si>
  <si>
    <t>CAPITOLUL 4</t>
  </si>
  <si>
    <t>Cheltuieli pentru investitia de baza</t>
  </si>
  <si>
    <t>4.1 Constructii si instalatii</t>
  </si>
  <si>
    <t xml:space="preserve">4.2 Montaj utilaje tehnologice </t>
  </si>
  <si>
    <t xml:space="preserve">4.3.Utilaje si echipamente cu montaj </t>
  </si>
  <si>
    <t>4.4 Utilaje,echipamente tehnologice fara montaj</t>
  </si>
  <si>
    <t>4.5 Dotari</t>
  </si>
  <si>
    <t>4.6 Active necorporale</t>
  </si>
  <si>
    <t>CAPITOLUL 5</t>
  </si>
  <si>
    <t>5.1 Organizare de santier</t>
  </si>
  <si>
    <t>5.2 Comisioane, cote, costuri de finantare</t>
  </si>
  <si>
    <t>5.3 Diverse si neprevazute</t>
  </si>
  <si>
    <t>5.4 Cheltuieli pentru informare şi publicitate</t>
  </si>
  <si>
    <t>CAPITOLUL 6</t>
  </si>
  <si>
    <t>6.1 Pregatirea personalului de exploatare</t>
  </si>
  <si>
    <t>6.2 Probe tehnologice</t>
  </si>
  <si>
    <t>Vinvestitie</t>
  </si>
  <si>
    <t>fara TVA</t>
  </si>
  <si>
    <t>cu TVA</t>
  </si>
  <si>
    <t>an I</t>
  </si>
  <si>
    <t>an II</t>
  </si>
  <si>
    <t>TOTAL</t>
  </si>
  <si>
    <t>Valoare investitie</t>
  </si>
  <si>
    <t>Anul 1</t>
  </si>
  <si>
    <t>Anul 2</t>
  </si>
  <si>
    <t>Amenajari pentru protectia mediului</t>
  </si>
  <si>
    <t>Cheltuieli utilitati</t>
  </si>
  <si>
    <t>Achizitii + SF</t>
  </si>
  <si>
    <t>Achizitii + proiectare si verificare</t>
  </si>
  <si>
    <t>Constructii, instalatii, echipamente</t>
  </si>
  <si>
    <t>Organizare de santier si alte cheltuieli ale investitiei</t>
  </si>
  <si>
    <t>Pregatire personal, probe</t>
  </si>
  <si>
    <t>10% (CAP 1+ CAP 2+CAP 4(4.1+4.2) +5.1.1)</t>
  </si>
  <si>
    <t xml:space="preserve">SC IMPROVE ARCHITECTURE SRL </t>
  </si>
  <si>
    <t>Instalatii sanitare exterioare</t>
  </si>
  <si>
    <t>Imprejmuire incinta</t>
  </si>
  <si>
    <t>Amenajare carosabil</t>
  </si>
  <si>
    <t>Spatii verzi, inclusiv dotari</t>
  </si>
  <si>
    <t>Bransament electric</t>
  </si>
  <si>
    <t>Varianta 1 - Ds+P+4E</t>
  </si>
  <si>
    <t xml:space="preserve">“CONSTRUIRE LOCUINTE  si amenajare incinta conform contract 145/28.11.2017”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</si>
</sst>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3" formatCode="_-* #,##0.00\ _l_e_i_-;\-* #,##0.00\ _l_e_i_-;_-* &quot;-&quot;??\ _l_e_i_-;_-@_-"/>
    <numFmt numFmtId="164" formatCode="_(* #,##0.00_);_(* \(#,##0.00\);_(* &quot;-&quot;??_);_(@_)"/>
    <numFmt numFmtId="165" formatCode="0.000"/>
    <numFmt numFmtId="166" formatCode="_-* #,##0.00\ _R_O_N_-;\-* #,##0.00\ _R_O_N_-;_-* &quot;-&quot;??\ _R_O_N_-;_-@_-"/>
    <numFmt numFmtId="167" formatCode="0.0000"/>
    <numFmt numFmtId="168" formatCode="0.000%"/>
    <numFmt numFmtId="169" formatCode="_-[$€]\ * #,##0.00_-;\-[$€]\ * #,##0.00_-;_-[$€]\ * &quot;-&quot;??_-;_-@_-"/>
  </numFmts>
  <fonts count="63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006100"/>
      <name val="Calibri"/>
      <family val="2"/>
      <charset val="238"/>
      <scheme val="minor"/>
    </font>
    <font>
      <sz val="11"/>
      <color rgb="FF9C5700"/>
      <name val="Calibri"/>
      <family val="2"/>
      <charset val="238"/>
      <scheme val="minor"/>
    </font>
    <font>
      <i/>
      <sz val="11"/>
      <color rgb="FF7F7F7F"/>
      <name val="Calibri"/>
      <family val="2"/>
      <scheme val="minor"/>
    </font>
    <font>
      <sz val="11"/>
      <color theme="0"/>
      <name val="Calibri"/>
      <family val="2"/>
      <scheme val="minor"/>
    </font>
    <font>
      <sz val="10"/>
      <name val="Arial"/>
      <family val="2"/>
      <charset val="238"/>
    </font>
    <font>
      <b/>
      <sz val="11"/>
      <color rgb="FF3F3F3F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scheme val="minor"/>
    </font>
    <font>
      <b/>
      <sz val="10"/>
      <color rgb="FF3F3F3F"/>
      <name val="Calibri"/>
      <family val="2"/>
      <scheme val="minor"/>
    </font>
    <font>
      <sz val="10"/>
      <color rgb="FFFF0000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rgb="FF006100"/>
      <name val="Calibri"/>
      <family val="2"/>
      <scheme val="minor"/>
    </font>
    <font>
      <b/>
      <sz val="11"/>
      <name val="Times New Roman"/>
      <family val="1"/>
    </font>
    <font>
      <sz val="10"/>
      <name val="Arial"/>
      <family val="2"/>
    </font>
    <font>
      <b/>
      <u/>
      <sz val="9"/>
      <name val="Arial"/>
      <family val="2"/>
    </font>
    <font>
      <b/>
      <sz val="10"/>
      <name val="Calibri"/>
      <family val="2"/>
      <scheme val="minor"/>
    </font>
    <font>
      <sz val="10"/>
      <name val="Calibri"/>
      <family val="2"/>
      <scheme val="minor"/>
    </font>
    <font>
      <b/>
      <i/>
      <sz val="1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0"/>
      <color rgb="FF4476A7"/>
      <name val="Verdana"/>
      <family val="2"/>
    </font>
    <font>
      <b/>
      <sz val="11"/>
      <color rgb="FF3F3F76"/>
      <name val="Calibri"/>
      <family val="2"/>
      <scheme val="minor"/>
    </font>
    <font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B050"/>
      <name val="Calibri"/>
      <family val="2"/>
      <charset val="238"/>
      <scheme val="minor"/>
    </font>
    <font>
      <sz val="11"/>
      <color rgb="FF00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theme="8" tint="-0.249977111117893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33333"/>
      <name val="Arial"/>
      <family val="2"/>
      <charset val="238"/>
    </font>
    <font>
      <b/>
      <sz val="10"/>
      <color rgb="FFFF0000"/>
      <name val="Calibri"/>
      <family val="2"/>
      <scheme val="minor"/>
    </font>
    <font>
      <b/>
      <sz val="14"/>
      <name val="Calibri"/>
      <family val="2"/>
      <scheme val="minor"/>
    </font>
    <font>
      <sz val="10"/>
      <color rgb="FFFF0000"/>
      <name val="Calibri"/>
      <family val="2"/>
      <scheme val="minor"/>
    </font>
    <font>
      <b/>
      <sz val="10"/>
      <color indexed="8"/>
      <name val="Calibri"/>
      <family val="2"/>
      <scheme val="minor"/>
    </font>
    <font>
      <b/>
      <sz val="8"/>
      <color indexed="8"/>
      <name val="Calibri"/>
      <family val="2"/>
      <scheme val="minor"/>
    </font>
    <font>
      <b/>
      <sz val="8"/>
      <name val="Calibri"/>
      <family val="2"/>
      <scheme val="minor"/>
    </font>
    <font>
      <b/>
      <sz val="7"/>
      <color rgb="FF000000"/>
      <name val="Calibri"/>
      <family val="2"/>
      <scheme val="minor"/>
    </font>
    <font>
      <b/>
      <sz val="7"/>
      <color rgb="FFFF0000"/>
      <name val="Calibri"/>
      <family val="2"/>
      <scheme val="minor"/>
    </font>
    <font>
      <sz val="10"/>
      <color indexed="8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rgb="FFFFFFFF"/>
      <name val="Arial"/>
      <family val="2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b/>
      <u/>
      <sz val="10"/>
      <color rgb="FF000000"/>
      <name val="Times New Roman"/>
      <family val="1"/>
    </font>
    <font>
      <b/>
      <i/>
      <u/>
      <sz val="11"/>
      <color rgb="FF000000"/>
      <name val="Times New Roman"/>
      <family val="1"/>
    </font>
    <font>
      <b/>
      <u/>
      <sz val="11"/>
      <color rgb="FF000000"/>
      <name val="Times New Roman"/>
      <family val="1"/>
    </font>
    <font>
      <b/>
      <u/>
      <sz val="11"/>
      <color rgb="FF000000"/>
      <name val="Cambria"/>
      <family val="1"/>
    </font>
    <font>
      <sz val="11"/>
      <color rgb="FF000000"/>
      <name val="Cambria"/>
      <family val="1"/>
    </font>
    <font>
      <b/>
      <i/>
      <sz val="11"/>
      <color rgb="FF000000"/>
      <name val="Times New Roman"/>
      <family val="1"/>
    </font>
    <font>
      <sz val="8"/>
      <name val="Calibri"/>
      <family val="2"/>
      <scheme val="minor"/>
    </font>
    <font>
      <sz val="10"/>
      <color theme="1"/>
      <name val="Calibri Light"/>
      <family val="1"/>
      <scheme val="major"/>
    </font>
    <font>
      <b/>
      <sz val="1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</fonts>
  <fills count="2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EB9C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rgb="FFF2F2F2"/>
      </patternFill>
    </fill>
    <fill>
      <patternFill patternType="solid">
        <fgColor rgb="FFFFCC99"/>
      </patternFill>
    </fill>
    <fill>
      <patternFill patternType="solid">
        <fgColor rgb="FFA5A5A5"/>
      </patternFill>
    </fill>
    <fill>
      <patternFill patternType="solid">
        <fgColor rgb="FFFFC7CE"/>
      </patternFill>
    </fill>
    <fill>
      <patternFill patternType="solid">
        <fgColor rgb="FFFFFFCC"/>
      </patternFill>
    </fill>
    <fill>
      <patternFill patternType="solid">
        <fgColor rgb="FF92D05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rgb="FFD9D9D9"/>
        <bgColor indexed="64"/>
      </patternFill>
    </fill>
    <fill>
      <patternFill patternType="solid">
        <fgColor rgb="FF5B9BD5"/>
        <bgColor indexed="64"/>
      </patternFill>
    </fill>
    <fill>
      <patternFill patternType="solid">
        <fgColor rgb="FFCCCCCC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rgb="FF5B9BD5"/>
      </left>
      <right/>
      <top style="medium">
        <color rgb="FF5B9BD5"/>
      </top>
      <bottom/>
      <diagonal/>
    </border>
    <border>
      <left/>
      <right/>
      <top style="medium">
        <color rgb="FF5B9BD5"/>
      </top>
      <bottom/>
      <diagonal/>
    </border>
    <border>
      <left/>
      <right style="medium">
        <color rgb="FF5B9BD5"/>
      </right>
      <top style="medium">
        <color rgb="FF5B9BD5"/>
      </top>
      <bottom/>
      <diagonal/>
    </border>
    <border>
      <left style="medium">
        <color rgb="FF5B9BD5"/>
      </left>
      <right/>
      <top style="medium">
        <color rgb="FF5B9BD5"/>
      </top>
      <bottom style="medium">
        <color rgb="FF5B9BD5"/>
      </bottom>
      <diagonal/>
    </border>
    <border>
      <left/>
      <right/>
      <top style="medium">
        <color rgb="FF5B9BD5"/>
      </top>
      <bottom style="medium">
        <color rgb="FF5B9BD5"/>
      </bottom>
      <diagonal/>
    </border>
    <border>
      <left/>
      <right style="medium">
        <color rgb="FF5B9BD5"/>
      </right>
      <top style="medium">
        <color rgb="FF5B9BD5"/>
      </top>
      <bottom style="medium">
        <color rgb="FF5B9BD5"/>
      </bottom>
      <diagonal/>
    </border>
    <border>
      <left style="medium">
        <color rgb="FF5B9BD5"/>
      </left>
      <right/>
      <top/>
      <bottom/>
      <diagonal/>
    </border>
    <border>
      <left/>
      <right style="medium">
        <color rgb="FF5B9BD5"/>
      </right>
      <top/>
      <bottom/>
      <diagonal/>
    </border>
    <border>
      <left/>
      <right/>
      <top/>
      <bottom style="medium">
        <color rgb="FF666666"/>
      </bottom>
      <diagonal/>
    </border>
    <border>
      <left/>
      <right/>
      <top style="medium">
        <color rgb="FF666666"/>
      </top>
      <bottom/>
      <diagonal/>
    </border>
    <border>
      <left/>
      <right style="medium">
        <color rgb="FF666666"/>
      </right>
      <top style="medium">
        <color rgb="FF666666"/>
      </top>
      <bottom/>
      <diagonal/>
    </border>
    <border>
      <left style="medium">
        <color rgb="FF666666"/>
      </left>
      <right style="medium">
        <color rgb="FF666666"/>
      </right>
      <top style="medium">
        <color rgb="FF666666"/>
      </top>
      <bottom/>
      <diagonal/>
    </border>
    <border>
      <left/>
      <right style="medium">
        <color rgb="FF666666"/>
      </right>
      <top/>
      <bottom/>
      <diagonal/>
    </border>
    <border>
      <left/>
      <right style="medium">
        <color rgb="FF666666"/>
      </right>
      <top/>
      <bottom style="medium">
        <color rgb="FF666666"/>
      </bottom>
      <diagonal/>
    </border>
    <border>
      <left style="medium">
        <color rgb="FF666666"/>
      </left>
      <right style="medium">
        <color rgb="FF666666"/>
      </right>
      <top/>
      <bottom style="medium">
        <color rgb="FF666666"/>
      </bottom>
      <diagonal/>
    </border>
    <border>
      <left/>
      <right style="double">
        <color rgb="FF3F3F3F"/>
      </right>
      <top style="double">
        <color rgb="FF3F3F3F"/>
      </top>
      <bottom/>
      <diagonal/>
    </border>
    <border>
      <left/>
      <right style="double">
        <color rgb="FF3F3F3F"/>
      </right>
      <top/>
      <bottom/>
      <diagonal/>
    </border>
  </borders>
  <cellStyleXfs count="27">
    <xf numFmtId="0" fontId="0" fillId="0" borderId="0"/>
    <xf numFmtId="0" fontId="3" fillId="2" borderId="0" applyNumberFormat="0" applyBorder="0" applyAlignment="0" applyProtection="0"/>
    <xf numFmtId="0" fontId="4" fillId="3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8" fillId="8" borderId="19" applyNumberFormat="0" applyAlignment="0" applyProtection="0"/>
    <xf numFmtId="0" fontId="16" fillId="0" borderId="0"/>
    <xf numFmtId="0" fontId="17" fillId="2" borderId="0" applyNumberFormat="0" applyBorder="0" applyAlignment="0" applyProtection="0"/>
    <xf numFmtId="0" fontId="7" fillId="0" borderId="0"/>
    <xf numFmtId="9" fontId="7" fillId="0" borderId="0" applyFont="0" applyFill="0" applyBorder="0" applyAlignment="0" applyProtection="0"/>
    <xf numFmtId="166" fontId="16" fillId="0" borderId="0" applyFont="0" applyFill="0" applyBorder="0" applyAlignment="0" applyProtection="0"/>
    <xf numFmtId="0" fontId="1" fillId="0" borderId="0"/>
    <xf numFmtId="0" fontId="19" fillId="0" borderId="0"/>
    <xf numFmtId="0" fontId="24" fillId="9" borderId="30" applyNumberFormat="0" applyAlignment="0" applyProtection="0"/>
    <xf numFmtId="0" fontId="25" fillId="10" borderId="31" applyNumberFormat="0" applyAlignment="0" applyProtection="0"/>
    <xf numFmtId="169" fontId="19" fillId="0" borderId="0" applyFont="0" applyFill="0" applyBorder="0" applyAlignment="0" applyProtection="0"/>
    <xf numFmtId="169" fontId="19" fillId="0" borderId="0" applyFont="0" applyFill="0" applyBorder="0" applyAlignment="0" applyProtection="0"/>
    <xf numFmtId="0" fontId="19" fillId="0" borderId="0"/>
    <xf numFmtId="0" fontId="19" fillId="0" borderId="0"/>
    <xf numFmtId="0" fontId="19" fillId="0" borderId="0"/>
    <xf numFmtId="0" fontId="7" fillId="0" borderId="0"/>
    <xf numFmtId="0" fontId="19" fillId="0" borderId="0">
      <alignment vertical="center" textRotation="135"/>
    </xf>
    <xf numFmtId="0" fontId="31" fillId="11" borderId="0" applyNumberFormat="0" applyBorder="0" applyAlignment="0" applyProtection="0"/>
    <xf numFmtId="0" fontId="30" fillId="12" borderId="39" applyNumberFormat="0" applyFont="0" applyAlignment="0" applyProtection="0"/>
    <xf numFmtId="164" fontId="30" fillId="0" borderId="0" applyFont="0" applyFill="0" applyBorder="0" applyAlignment="0" applyProtection="0"/>
  </cellStyleXfs>
  <cellXfs count="405">
    <xf numFmtId="0" fontId="0" fillId="0" borderId="0" xfId="0"/>
    <xf numFmtId="165" fontId="10" fillId="0" borderId="0" xfId="0" applyNumberFormat="1" applyFont="1"/>
    <xf numFmtId="165" fontId="9" fillId="0" borderId="0" xfId="0" applyNumberFormat="1" applyFont="1"/>
    <xf numFmtId="165" fontId="9" fillId="0" borderId="0" xfId="0" applyNumberFormat="1" applyFont="1" applyAlignment="1">
      <alignment horizontal="center"/>
    </xf>
    <xf numFmtId="165" fontId="9" fillId="0" borderId="2" xfId="0" applyNumberFormat="1" applyFont="1" applyBorder="1" applyAlignment="1"/>
    <xf numFmtId="165" fontId="9" fillId="0" borderId="18" xfId="0" applyNumberFormat="1" applyFont="1" applyBorder="1" applyAlignment="1">
      <alignment horizontal="center" vertical="center"/>
    </xf>
    <xf numFmtId="165" fontId="9" fillId="0" borderId="0" xfId="0" applyNumberFormat="1" applyFont="1" applyBorder="1" applyAlignment="1">
      <alignment vertical="center"/>
    </xf>
    <xf numFmtId="165" fontId="9" fillId="0" borderId="1" xfId="0" applyNumberFormat="1" applyFont="1" applyBorder="1"/>
    <xf numFmtId="165" fontId="9" fillId="0" borderId="0" xfId="0" applyNumberFormat="1" applyFont="1" applyAlignment="1">
      <alignment wrapText="1"/>
    </xf>
    <xf numFmtId="165" fontId="9" fillId="0" borderId="16" xfId="0" applyNumberFormat="1" applyFont="1" applyFill="1" applyBorder="1"/>
    <xf numFmtId="165" fontId="9" fillId="0" borderId="0" xfId="0" applyNumberFormat="1" applyFont="1" applyAlignment="1">
      <alignment vertical="center"/>
    </xf>
    <xf numFmtId="165" fontId="13" fillId="0" borderId="0" xfId="0" applyNumberFormat="1" applyFont="1"/>
    <xf numFmtId="165" fontId="9" fillId="0" borderId="0" xfId="0" applyNumberFormat="1" applyFont="1" applyAlignment="1">
      <alignment horizontal="center" vertical="center" wrapText="1"/>
    </xf>
    <xf numFmtId="165" fontId="9" fillId="0" borderId="0" xfId="0" applyNumberFormat="1" applyFont="1" applyBorder="1" applyAlignment="1">
      <alignment horizontal="center" vertical="center"/>
    </xf>
    <xf numFmtId="165" fontId="13" fillId="0" borderId="1" xfId="0" applyNumberFormat="1" applyFont="1" applyBorder="1"/>
    <xf numFmtId="165" fontId="10" fillId="0" borderId="1" xfId="0" applyNumberFormat="1" applyFont="1" applyBorder="1"/>
    <xf numFmtId="0" fontId="22" fillId="0" borderId="1" xfId="14" applyFont="1" applyFill="1" applyBorder="1" applyAlignment="1">
      <alignment vertical="top" wrapText="1"/>
    </xf>
    <xf numFmtId="0" fontId="22" fillId="0" borderId="1" xfId="14" applyFont="1" applyFill="1" applyBorder="1" applyAlignment="1">
      <alignment horizontal="left" vertical="top"/>
    </xf>
    <xf numFmtId="3" fontId="21" fillId="0" borderId="4" xfId="14" applyNumberFormat="1" applyFont="1" applyFill="1" applyBorder="1" applyAlignment="1">
      <alignment horizontal="center" vertical="top" wrapText="1"/>
    </xf>
    <xf numFmtId="0" fontId="22" fillId="0" borderId="3" xfId="14" applyFont="1" applyFill="1" applyBorder="1" applyAlignment="1">
      <alignment horizontal="center" vertical="top" wrapText="1"/>
    </xf>
    <xf numFmtId="165" fontId="22" fillId="0" borderId="1" xfId="14" applyNumberFormat="1" applyFont="1" applyBorder="1" applyAlignment="1">
      <alignment vertical="top" wrapText="1"/>
    </xf>
    <xf numFmtId="165" fontId="22" fillId="0" borderId="4" xfId="14" applyNumberFormat="1" applyFont="1" applyBorder="1" applyAlignment="1">
      <alignment vertical="top" wrapText="1"/>
    </xf>
    <xf numFmtId="0" fontId="0" fillId="0" borderId="0" xfId="0" applyAlignment="1">
      <alignment vertical="top" wrapText="1"/>
    </xf>
    <xf numFmtId="0" fontId="19" fillId="0" borderId="0" xfId="14" applyFill="1" applyAlignment="1">
      <alignment vertical="top" wrapText="1"/>
    </xf>
    <xf numFmtId="0" fontId="19" fillId="0" borderId="0" xfId="14" applyFont="1" applyFill="1" applyAlignment="1">
      <alignment vertical="top" wrapText="1"/>
    </xf>
    <xf numFmtId="3" fontId="19" fillId="0" borderId="0" xfId="14" applyNumberFormat="1" applyFont="1" applyFill="1" applyAlignment="1">
      <alignment vertical="top" wrapText="1"/>
    </xf>
    <xf numFmtId="167" fontId="9" fillId="0" borderId="2" xfId="0" applyNumberFormat="1" applyFont="1" applyBorder="1" applyAlignment="1"/>
    <xf numFmtId="0" fontId="21" fillId="0" borderId="1" xfId="14" applyFont="1" applyFill="1" applyBorder="1" applyAlignment="1">
      <alignment horizontal="center" vertical="top" wrapText="1"/>
    </xf>
    <xf numFmtId="165" fontId="24" fillId="9" borderId="32" xfId="15" applyNumberFormat="1" applyBorder="1" applyAlignment="1">
      <alignment horizontal="right"/>
    </xf>
    <xf numFmtId="0" fontId="19" fillId="0" borderId="0" xfId="14"/>
    <xf numFmtId="165" fontId="21" fillId="0" borderId="5" xfId="14" applyNumberFormat="1" applyFont="1" applyFill="1" applyBorder="1" applyAlignment="1">
      <alignment horizontal="right" wrapText="1"/>
    </xf>
    <xf numFmtId="165" fontId="21" fillId="0" borderId="6" xfId="14" applyNumberFormat="1" applyFont="1" applyFill="1" applyBorder="1" applyAlignment="1">
      <alignment horizontal="right" wrapText="1"/>
    </xf>
    <xf numFmtId="0" fontId="22" fillId="0" borderId="33" xfId="14" applyFont="1" applyFill="1" applyBorder="1" applyAlignment="1">
      <alignment horizontal="center" vertical="top" wrapText="1"/>
    </xf>
    <xf numFmtId="0" fontId="22" fillId="0" borderId="25" xfId="14" applyFont="1" applyFill="1" applyBorder="1" applyAlignment="1">
      <alignment vertical="top"/>
    </xf>
    <xf numFmtId="165" fontId="22" fillId="0" borderId="25" xfId="14" applyNumberFormat="1" applyFont="1" applyBorder="1" applyAlignment="1">
      <alignment vertical="top" wrapText="1"/>
    </xf>
    <xf numFmtId="165" fontId="22" fillId="0" borderId="34" xfId="14" applyNumberFormat="1" applyFont="1" applyBorder="1" applyAlignment="1">
      <alignment vertical="top" wrapText="1"/>
    </xf>
    <xf numFmtId="0" fontId="23" fillId="0" borderId="27" xfId="14" applyFont="1" applyFill="1" applyBorder="1" applyAlignment="1">
      <alignment horizontal="center" vertical="top" wrapText="1"/>
    </xf>
    <xf numFmtId="0" fontId="23" fillId="0" borderId="5" xfId="14" applyFont="1" applyFill="1" applyBorder="1" applyAlignment="1">
      <alignment horizontal="center" vertical="top" wrapText="1"/>
    </xf>
    <xf numFmtId="3" fontId="23" fillId="0" borderId="6" xfId="14" applyNumberFormat="1" applyFont="1" applyFill="1" applyBorder="1" applyAlignment="1">
      <alignment horizontal="center" vertical="top" wrapText="1"/>
    </xf>
    <xf numFmtId="165" fontId="9" fillId="0" borderId="0" xfId="0" applyNumberFormat="1" applyFont="1" applyAlignment="1">
      <alignment horizontal="center"/>
    </xf>
    <xf numFmtId="0" fontId="21" fillId="0" borderId="1" xfId="14" applyFont="1" applyFill="1" applyBorder="1" applyAlignment="1">
      <alignment horizontal="center" vertical="top" wrapText="1"/>
    </xf>
    <xf numFmtId="0" fontId="0" fillId="0" borderId="1" xfId="0" applyBorder="1" applyAlignment="1">
      <alignment vertical="top" wrapText="1"/>
    </xf>
    <xf numFmtId="0" fontId="23" fillId="0" borderId="22" xfId="14" applyFont="1" applyFill="1" applyBorder="1" applyAlignment="1">
      <alignment horizontal="center" vertical="top" wrapText="1"/>
    </xf>
    <xf numFmtId="0" fontId="23" fillId="0" borderId="12" xfId="14" applyFont="1" applyFill="1" applyBorder="1" applyAlignment="1">
      <alignment horizontal="center" vertical="top" wrapText="1"/>
    </xf>
    <xf numFmtId="3" fontId="23" fillId="0" borderId="23" xfId="14" applyNumberFormat="1" applyFont="1" applyFill="1" applyBorder="1" applyAlignment="1">
      <alignment horizontal="center" vertical="top" wrapText="1"/>
    </xf>
    <xf numFmtId="165" fontId="0" fillId="0" borderId="1" xfId="0" applyNumberFormat="1" applyBorder="1" applyAlignment="1">
      <alignment vertical="top" wrapText="1"/>
    </xf>
    <xf numFmtId="165" fontId="9" fillId="0" borderId="0" xfId="0" applyNumberFormat="1" applyFont="1" applyAlignment="1">
      <alignment horizontal="center"/>
    </xf>
    <xf numFmtId="165" fontId="9" fillId="0" borderId="0" xfId="0" applyNumberFormat="1" applyFont="1" applyAlignment="1">
      <alignment horizontal="center"/>
    </xf>
    <xf numFmtId="165" fontId="9" fillId="0" borderId="16" xfId="0" applyNumberFormat="1" applyFont="1" applyBorder="1" applyAlignment="1">
      <alignment horizontal="center" vertical="center" wrapText="1"/>
    </xf>
    <xf numFmtId="165" fontId="9" fillId="0" borderId="16" xfId="0" applyNumberFormat="1" applyFont="1" applyBorder="1" applyAlignment="1">
      <alignment horizontal="center" vertical="center" wrapText="1"/>
    </xf>
    <xf numFmtId="165" fontId="9" fillId="0" borderId="0" xfId="0" applyNumberFormat="1" applyFont="1" applyAlignment="1">
      <alignment horizontal="center"/>
    </xf>
    <xf numFmtId="49" fontId="15" fillId="0" borderId="2" xfId="0" applyNumberFormat="1" applyFont="1" applyBorder="1" applyAlignment="1"/>
    <xf numFmtId="165" fontId="13" fillId="0" borderId="0" xfId="0" applyNumberFormat="1" applyFont="1" applyAlignment="1">
      <alignment vertical="center"/>
    </xf>
    <xf numFmtId="165" fontId="9" fillId="0" borderId="0" xfId="0" applyNumberFormat="1" applyFont="1" applyBorder="1" applyAlignment="1">
      <alignment horizontal="center" vertical="center" wrapText="1"/>
    </xf>
    <xf numFmtId="165" fontId="15" fillId="0" borderId="0" xfId="0" applyNumberFormat="1" applyFont="1"/>
    <xf numFmtId="165" fontId="15" fillId="0" borderId="0" xfId="0" applyNumberFormat="1" applyFont="1" applyAlignment="1">
      <alignment horizontal="center"/>
    </xf>
    <xf numFmtId="165" fontId="15" fillId="0" borderId="17" xfId="0" applyNumberFormat="1" applyFont="1" applyFill="1" applyBorder="1"/>
    <xf numFmtId="0" fontId="25" fillId="10" borderId="0" xfId="16" applyBorder="1" applyAlignment="1">
      <alignment horizontal="center" vertical="center" wrapText="1"/>
    </xf>
    <xf numFmtId="165" fontId="10" fillId="0" borderId="0" xfId="0" applyNumberFormat="1" applyFont="1" applyAlignment="1">
      <alignment horizontal="center"/>
    </xf>
    <xf numFmtId="0" fontId="26" fillId="0" borderId="0" xfId="0" applyFont="1"/>
    <xf numFmtId="165" fontId="13" fillId="0" borderId="0" xfId="0" applyNumberFormat="1" applyFont="1" applyAlignment="1">
      <alignment horizontal="center"/>
    </xf>
    <xf numFmtId="165" fontId="13" fillId="0" borderId="18" xfId="0" applyNumberFormat="1" applyFont="1" applyBorder="1" applyAlignment="1">
      <alignment horizontal="center" vertical="center"/>
    </xf>
    <xf numFmtId="165" fontId="27" fillId="9" borderId="32" xfId="15" applyNumberFormat="1" applyFont="1" applyBorder="1" applyAlignment="1">
      <alignment horizontal="right"/>
    </xf>
    <xf numFmtId="165" fontId="13" fillId="0" borderId="17" xfId="0" applyNumberFormat="1" applyFont="1" applyBorder="1" applyAlignment="1">
      <alignment horizontal="center" vertical="center"/>
    </xf>
    <xf numFmtId="165" fontId="27" fillId="9" borderId="0" xfId="15" applyNumberFormat="1" applyFont="1" applyBorder="1" applyAlignment="1">
      <alignment horizontal="right"/>
    </xf>
    <xf numFmtId="165" fontId="13" fillId="0" borderId="0" xfId="0" applyNumberFormat="1" applyFont="1" applyBorder="1" applyAlignment="1">
      <alignment horizontal="center" vertical="center"/>
    </xf>
    <xf numFmtId="0" fontId="21" fillId="0" borderId="1" xfId="14" applyFont="1" applyFill="1" applyBorder="1" applyAlignment="1">
      <alignment horizontal="center" vertical="top" wrapText="1"/>
    </xf>
    <xf numFmtId="165" fontId="0" fillId="0" borderId="0" xfId="0" applyNumberFormat="1" applyAlignment="1">
      <alignment vertical="top" wrapText="1"/>
    </xf>
    <xf numFmtId="0" fontId="28" fillId="0" borderId="1" xfId="0" applyFont="1" applyBorder="1" applyAlignment="1">
      <alignment vertical="center" wrapText="1"/>
    </xf>
    <xf numFmtId="0" fontId="28" fillId="0" borderId="1" xfId="0" applyFont="1" applyFill="1" applyBorder="1" applyAlignment="1">
      <alignment vertical="top" wrapText="1"/>
    </xf>
    <xf numFmtId="0" fontId="29" fillId="0" borderId="1" xfId="14" applyFont="1" applyFill="1" applyBorder="1" applyAlignment="1">
      <alignment horizontal="left" vertical="top"/>
    </xf>
    <xf numFmtId="168" fontId="0" fillId="0" borderId="0" xfId="0" applyNumberFormat="1" applyAlignment="1">
      <alignment vertical="top" wrapText="1"/>
    </xf>
    <xf numFmtId="0" fontId="0" fillId="0" borderId="0" xfId="0" applyFont="1"/>
    <xf numFmtId="0" fontId="31" fillId="11" borderId="29" xfId="24" applyFont="1" applyBorder="1" applyAlignment="1">
      <alignment vertical="center" wrapText="1"/>
    </xf>
    <xf numFmtId="0" fontId="31" fillId="11" borderId="7" xfId="24" applyFont="1" applyBorder="1" applyAlignment="1">
      <alignment vertical="center" wrapText="1"/>
    </xf>
    <xf numFmtId="0" fontId="31" fillId="11" borderId="7" xfId="24" applyFont="1" applyBorder="1" applyAlignment="1">
      <alignment horizontal="center" vertical="center" wrapText="1"/>
    </xf>
    <xf numFmtId="0" fontId="31" fillId="11" borderId="28" xfId="24" applyFont="1" applyBorder="1" applyAlignment="1">
      <alignment vertical="center" wrapText="1"/>
    </xf>
    <xf numFmtId="0" fontId="0" fillId="0" borderId="0" xfId="0" applyFont="1" applyAlignment="1">
      <alignment horizontal="left" vertical="center" indent="8"/>
    </xf>
    <xf numFmtId="0" fontId="0" fillId="0" borderId="3" xfId="0" applyFont="1" applyBorder="1" applyAlignment="1">
      <alignment horizontal="justify" vertical="center" wrapText="1"/>
    </xf>
    <xf numFmtId="0" fontId="28" fillId="0" borderId="1" xfId="0" applyFont="1" applyBorder="1" applyAlignment="1">
      <alignment vertical="top" wrapText="1"/>
    </xf>
    <xf numFmtId="0" fontId="0" fillId="0" borderId="1" xfId="0" applyFont="1" applyBorder="1"/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center" vertical="center" wrapText="1"/>
    </xf>
    <xf numFmtId="0" fontId="34" fillId="0" borderId="1" xfId="0" applyFont="1" applyBorder="1" applyAlignment="1">
      <alignment horizontal="center" vertical="center" wrapText="1"/>
    </xf>
    <xf numFmtId="0" fontId="0" fillId="0" borderId="4" xfId="0" applyFont="1" applyBorder="1" applyAlignment="1">
      <alignment horizontal="center" vertical="center" wrapText="1"/>
    </xf>
    <xf numFmtId="0" fontId="28" fillId="0" borderId="1" xfId="0" applyFont="1" applyBorder="1" applyAlignment="1">
      <alignment horizontal="center" vertical="center" wrapText="1"/>
    </xf>
    <xf numFmtId="0" fontId="28" fillId="0" borderId="1" xfId="0" applyFont="1" applyBorder="1" applyAlignment="1"/>
    <xf numFmtId="0" fontId="0" fillId="0" borderId="1" xfId="0" applyFont="1" applyBorder="1" applyAlignment="1">
      <alignment horizontal="left"/>
    </xf>
    <xf numFmtId="0" fontId="35" fillId="0" borderId="0" xfId="0" applyFont="1"/>
    <xf numFmtId="0" fontId="28" fillId="0" borderId="0" xfId="0" applyFont="1" applyFill="1"/>
    <xf numFmtId="0" fontId="28" fillId="0" borderId="3" xfId="0" applyFont="1" applyFill="1" applyBorder="1" applyAlignment="1">
      <alignment horizontal="justify" vertical="center" wrapText="1"/>
    </xf>
    <xf numFmtId="0" fontId="28" fillId="0" borderId="1" xfId="0" applyFont="1" applyFill="1" applyBorder="1" applyAlignment="1">
      <alignment vertical="center" wrapText="1"/>
    </xf>
    <xf numFmtId="0" fontId="28" fillId="0" borderId="1" xfId="0" applyFont="1" applyFill="1" applyBorder="1"/>
    <xf numFmtId="0" fontId="28" fillId="0" borderId="1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34" fillId="0" borderId="1" xfId="0" applyFont="1" applyFill="1" applyBorder="1" applyAlignment="1">
      <alignment horizontal="center" vertical="center" wrapText="1"/>
    </xf>
    <xf numFmtId="0" fontId="28" fillId="0" borderId="4" xfId="0" applyFont="1" applyFill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0" fillId="13" borderId="1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/>
    <xf numFmtId="0" fontId="28" fillId="0" borderId="1" xfId="0" applyFont="1" applyFill="1" applyBorder="1" applyAlignment="1">
      <alignment horizontal="left"/>
    </xf>
    <xf numFmtId="0" fontId="28" fillId="0" borderId="1" xfId="0" applyFont="1" applyFill="1" applyBorder="1" applyAlignment="1">
      <alignment wrapText="1"/>
    </xf>
    <xf numFmtId="0" fontId="28" fillId="0" borderId="1" xfId="0" applyNumberFormat="1" applyFont="1" applyFill="1" applyBorder="1" applyAlignment="1">
      <alignment horizontal="left"/>
    </xf>
    <xf numFmtId="49" fontId="28" fillId="0" borderId="1" xfId="0" applyNumberFormat="1" applyFont="1" applyFill="1" applyBorder="1" applyAlignment="1">
      <alignment horizontal="left"/>
    </xf>
    <xf numFmtId="0" fontId="28" fillId="0" borderId="1" xfId="0" applyFont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ont="1" applyFill="1"/>
    <xf numFmtId="0" fontId="0" fillId="0" borderId="3" xfId="0" applyFont="1" applyFill="1" applyBorder="1" applyAlignment="1">
      <alignment horizontal="justify" vertical="center" wrapText="1"/>
    </xf>
    <xf numFmtId="0" fontId="0" fillId="0" borderId="1" xfId="0" applyFont="1" applyFill="1" applyBorder="1"/>
    <xf numFmtId="0" fontId="0" fillId="0" borderId="1" xfId="0" applyFont="1" applyFill="1" applyBorder="1" applyAlignment="1">
      <alignment horizontal="left" vertical="center" wrapText="1"/>
    </xf>
    <xf numFmtId="0" fontId="0" fillId="0" borderId="4" xfId="0" applyFont="1" applyFill="1" applyBorder="1" applyAlignment="1">
      <alignment horizontal="center" vertical="center" wrapText="1"/>
    </xf>
    <xf numFmtId="0" fontId="0" fillId="0" borderId="1" xfId="0" applyFont="1" applyBorder="1" applyAlignment="1">
      <alignment vertical="center" wrapText="1"/>
    </xf>
    <xf numFmtId="0" fontId="0" fillId="0" borderId="0" xfId="0" applyFont="1" applyBorder="1" applyAlignment="1">
      <alignment horizontal="justify"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center" vertical="center" wrapText="1"/>
    </xf>
    <xf numFmtId="0" fontId="0" fillId="0" borderId="0" xfId="0" applyFont="1" applyBorder="1" applyAlignment="1">
      <alignment horizontal="left" vertical="center" wrapText="1"/>
    </xf>
    <xf numFmtId="2" fontId="28" fillId="0" borderId="1" xfId="0" applyNumberFormat="1" applyFont="1" applyFill="1" applyBorder="1" applyAlignment="1">
      <alignment horizontal="right"/>
    </xf>
    <xf numFmtId="0" fontId="0" fillId="0" borderId="4" xfId="0" applyFont="1" applyBorder="1" applyAlignment="1">
      <alignment horizontal="justify" vertical="center" wrapText="1"/>
    </xf>
    <xf numFmtId="0" fontId="0" fillId="14" borderId="0" xfId="0" applyFont="1" applyFill="1"/>
    <xf numFmtId="0" fontId="0" fillId="0" borderId="1" xfId="0" applyFont="1" applyBorder="1" applyAlignment="1"/>
    <xf numFmtId="0" fontId="0" fillId="14" borderId="3" xfId="0" applyFont="1" applyFill="1" applyBorder="1" applyAlignment="1">
      <alignment horizontal="justify" vertical="center" wrapText="1"/>
    </xf>
    <xf numFmtId="0" fontId="28" fillId="14" borderId="1" xfId="0" applyFont="1" applyFill="1" applyBorder="1" applyAlignment="1">
      <alignment vertical="center" wrapText="1"/>
    </xf>
    <xf numFmtId="0" fontId="0" fillId="14" borderId="1" xfId="0" applyFont="1" applyFill="1" applyBorder="1"/>
    <xf numFmtId="0" fontId="0" fillId="14" borderId="1" xfId="0" applyFont="1" applyFill="1" applyBorder="1" applyAlignment="1">
      <alignment horizontal="left"/>
    </xf>
    <xf numFmtId="0" fontId="0" fillId="14" borderId="1" xfId="0" applyFont="1" applyFill="1" applyBorder="1" applyAlignment="1">
      <alignment horizontal="center" vertical="center" wrapText="1"/>
    </xf>
    <xf numFmtId="0" fontId="34" fillId="14" borderId="1" xfId="0" applyFont="1" applyFill="1" applyBorder="1" applyAlignment="1">
      <alignment horizontal="center" vertical="center" wrapText="1"/>
    </xf>
    <xf numFmtId="0" fontId="28" fillId="14" borderId="1" xfId="0" applyFont="1" applyFill="1" applyBorder="1" applyAlignment="1">
      <alignment horizontal="center" vertical="center" wrapText="1"/>
    </xf>
    <xf numFmtId="2" fontId="28" fillId="14" borderId="1" xfId="0" applyNumberFormat="1" applyFont="1" applyFill="1" applyBorder="1" applyAlignment="1">
      <alignment horizontal="right"/>
    </xf>
    <xf numFmtId="0" fontId="0" fillId="14" borderId="4" xfId="0" applyFont="1" applyFill="1" applyBorder="1" applyAlignment="1">
      <alignment horizontal="justify" vertical="center" wrapText="1"/>
    </xf>
    <xf numFmtId="0" fontId="0" fillId="14" borderId="1" xfId="0" applyFont="1" applyFill="1" applyBorder="1" applyAlignment="1">
      <alignment vertical="center" wrapText="1"/>
    </xf>
    <xf numFmtId="0" fontId="0" fillId="14" borderId="1" xfId="0" applyFont="1" applyFill="1" applyBorder="1" applyAlignment="1">
      <alignment horizontal="left" vertical="center" wrapText="1"/>
    </xf>
    <xf numFmtId="0" fontId="0" fillId="14" borderId="1" xfId="0" applyFont="1" applyFill="1" applyBorder="1" applyAlignment="1"/>
    <xf numFmtId="0" fontId="28" fillId="14" borderId="1" xfId="0" applyFont="1" applyFill="1" applyBorder="1" applyAlignment="1"/>
    <xf numFmtId="0" fontId="0" fillId="0" borderId="27" xfId="0" applyFont="1" applyFill="1" applyBorder="1" applyAlignment="1">
      <alignment horizontal="justify" vertical="center" wrapText="1"/>
    </xf>
    <xf numFmtId="0" fontId="28" fillId="0" borderId="5" xfId="0" applyFont="1" applyFill="1" applyBorder="1" applyAlignment="1"/>
    <xf numFmtId="0" fontId="0" fillId="0" borderId="5" xfId="0" applyFont="1" applyFill="1" applyBorder="1"/>
    <xf numFmtId="0" fontId="0" fillId="0" borderId="5" xfId="0" applyFont="1" applyFill="1" applyBorder="1" applyAlignment="1">
      <alignment horizontal="left" vertical="center" wrapText="1"/>
    </xf>
    <xf numFmtId="0" fontId="0" fillId="0" borderId="5" xfId="0" applyFont="1" applyFill="1" applyBorder="1" applyAlignment="1">
      <alignment horizontal="center" vertical="center" wrapText="1"/>
    </xf>
    <xf numFmtId="0" fontId="39" fillId="13" borderId="0" xfId="0" applyFont="1" applyFill="1"/>
    <xf numFmtId="0" fontId="34" fillId="0" borderId="5" xfId="0" applyFont="1" applyFill="1" applyBorder="1" applyAlignment="1">
      <alignment horizontal="center" vertical="center" wrapText="1"/>
    </xf>
    <xf numFmtId="2" fontId="28" fillId="0" borderId="5" xfId="0" applyNumberFormat="1" applyFont="1" applyFill="1" applyBorder="1" applyAlignment="1">
      <alignment horizontal="right"/>
    </xf>
    <xf numFmtId="0" fontId="0" fillId="0" borderId="6" xfId="0" applyFont="1" applyFill="1" applyBorder="1" applyAlignment="1">
      <alignment horizontal="justify" vertical="center" wrapText="1"/>
    </xf>
    <xf numFmtId="0" fontId="0" fillId="0" borderId="0" xfId="0" applyFont="1" applyBorder="1"/>
    <xf numFmtId="2" fontId="28" fillId="0" borderId="0" xfId="0" applyNumberFormat="1" applyFont="1" applyFill="1" applyBorder="1" applyAlignment="1">
      <alignment horizontal="right"/>
    </xf>
    <xf numFmtId="0" fontId="0" fillId="0" borderId="28" xfId="0" applyFont="1" applyFill="1" applyBorder="1" applyAlignment="1">
      <alignment horizontal="justify" vertical="center" wrapText="1"/>
    </xf>
    <xf numFmtId="0" fontId="0" fillId="14" borderId="1" xfId="0" applyFont="1" applyFill="1" applyBorder="1" applyAlignment="1">
      <alignment horizontal="justify" vertical="center" wrapText="1"/>
    </xf>
    <xf numFmtId="0" fontId="0" fillId="14" borderId="3" xfId="25" applyFont="1" applyFill="1" applyBorder="1" applyAlignment="1">
      <alignment horizontal="justify" vertical="center" wrapText="1"/>
    </xf>
    <xf numFmtId="0" fontId="0" fillId="14" borderId="12" xfId="25" applyFont="1" applyFill="1" applyBorder="1" applyAlignment="1">
      <alignment vertical="center" wrapText="1"/>
    </xf>
    <xf numFmtId="0" fontId="0" fillId="14" borderId="12" xfId="25" applyFont="1" applyFill="1" applyBorder="1" applyAlignment="1">
      <alignment horizontal="center" vertical="center" wrapText="1"/>
    </xf>
    <xf numFmtId="0" fontId="0" fillId="14" borderId="12" xfId="25" applyFont="1" applyFill="1" applyBorder="1" applyAlignment="1">
      <alignment horizontal="left" vertical="center" wrapText="1"/>
    </xf>
    <xf numFmtId="0" fontId="0" fillId="14" borderId="1" xfId="25" applyFont="1" applyFill="1" applyBorder="1" applyAlignment="1">
      <alignment horizontal="left" vertical="center" wrapText="1"/>
    </xf>
    <xf numFmtId="2" fontId="34" fillId="14" borderId="1" xfId="25" applyNumberFormat="1" applyFont="1" applyFill="1" applyBorder="1" applyAlignment="1">
      <alignment horizontal="center" vertical="center" wrapText="1"/>
    </xf>
    <xf numFmtId="0" fontId="0" fillId="14" borderId="1" xfId="25" applyFont="1" applyFill="1" applyBorder="1" applyAlignment="1">
      <alignment horizontal="center" vertical="center" wrapText="1"/>
    </xf>
    <xf numFmtId="0" fontId="0" fillId="14" borderId="1" xfId="25" applyFont="1" applyFill="1" applyBorder="1" applyAlignment="1">
      <alignment horizontal="justify" vertical="center" wrapText="1"/>
    </xf>
    <xf numFmtId="0" fontId="0" fillId="0" borderId="40" xfId="0" applyFont="1" applyBorder="1" applyAlignment="1">
      <alignment horizontal="justify" vertical="center" wrapText="1"/>
    </xf>
    <xf numFmtId="0" fontId="33" fillId="0" borderId="29" xfId="0" applyFont="1" applyBorder="1" applyAlignment="1">
      <alignment vertical="center" wrapText="1"/>
    </xf>
    <xf numFmtId="0" fontId="33" fillId="0" borderId="7" xfId="0" applyFont="1" applyBorder="1" applyAlignment="1">
      <alignment horizontal="justify" vertical="center" wrapText="1"/>
    </xf>
    <xf numFmtId="0" fontId="33" fillId="0" borderId="28" xfId="0" applyFont="1" applyBorder="1" applyAlignment="1">
      <alignment horizontal="left" vertical="center" wrapText="1"/>
    </xf>
    <xf numFmtId="0" fontId="0" fillId="0" borderId="26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justify" vertical="center" wrapText="1"/>
    </xf>
    <xf numFmtId="0" fontId="33" fillId="0" borderId="3" xfId="0" applyFont="1" applyBorder="1" applyAlignment="1">
      <alignment vertical="center" wrapText="1"/>
    </xf>
    <xf numFmtId="4" fontId="33" fillId="0" borderId="1" xfId="0" applyNumberFormat="1" applyFont="1" applyBorder="1" applyAlignment="1">
      <alignment horizontal="justify" vertical="center" wrapText="1"/>
    </xf>
    <xf numFmtId="0" fontId="33" fillId="0" borderId="4" xfId="0" applyFont="1" applyBorder="1" applyAlignment="1">
      <alignment horizontal="left" vertical="center" wrapText="1"/>
    </xf>
    <xf numFmtId="0" fontId="33" fillId="0" borderId="3" xfId="0" applyFont="1" applyBorder="1" applyAlignment="1"/>
    <xf numFmtId="0" fontId="33" fillId="0" borderId="1" xfId="0" applyFont="1" applyBorder="1" applyAlignment="1">
      <alignment horizontal="left" vertical="center" wrapText="1"/>
    </xf>
    <xf numFmtId="0" fontId="33" fillId="0" borderId="1" xfId="0" applyFont="1" applyBorder="1" applyAlignment="1">
      <alignment horizontal="justify" vertical="center" wrapText="1"/>
    </xf>
    <xf numFmtId="0" fontId="33" fillId="0" borderId="27" xfId="0" applyFont="1" applyBorder="1" applyAlignment="1">
      <alignment vertical="center" wrapText="1"/>
    </xf>
    <xf numFmtId="0" fontId="33" fillId="0" borderId="5" xfId="0" applyFont="1" applyBorder="1" applyAlignment="1">
      <alignment horizontal="justify" vertical="center" wrapText="1"/>
    </xf>
    <xf numFmtId="0" fontId="0" fillId="0" borderId="25" xfId="0" applyFont="1" applyBorder="1" applyAlignment="1">
      <alignment vertical="center" wrapText="1"/>
    </xf>
    <xf numFmtId="0" fontId="0" fillId="0" borderId="25" xfId="0" applyFont="1" applyBorder="1" applyAlignment="1">
      <alignment horizontal="justify" vertical="center" wrapText="1"/>
    </xf>
    <xf numFmtId="0" fontId="0" fillId="0" borderId="25" xfId="0" applyFont="1" applyBorder="1" applyAlignment="1">
      <alignment horizontal="left" vertical="center" wrapText="1"/>
    </xf>
    <xf numFmtId="0" fontId="0" fillId="0" borderId="3" xfId="0" applyFont="1" applyBorder="1"/>
    <xf numFmtId="0" fontId="0" fillId="0" borderId="1" xfId="0" applyFont="1" applyFill="1" applyBorder="1" applyAlignment="1">
      <alignment vertical="center" wrapText="1"/>
    </xf>
    <xf numFmtId="0" fontId="0" fillId="0" borderId="4" xfId="0" applyFont="1" applyBorder="1"/>
    <xf numFmtId="0" fontId="0" fillId="0" borderId="27" xfId="0" applyFont="1" applyBorder="1"/>
    <xf numFmtId="0" fontId="0" fillId="0" borderId="5" xfId="0" applyFont="1" applyBorder="1" applyAlignment="1"/>
    <xf numFmtId="0" fontId="0" fillId="0" borderId="5" xfId="0" applyFont="1" applyBorder="1"/>
    <xf numFmtId="0" fontId="0" fillId="0" borderId="5" xfId="0" applyFont="1" applyBorder="1" applyAlignment="1">
      <alignment horizontal="left"/>
    </xf>
    <xf numFmtId="0" fontId="0" fillId="0" borderId="6" xfId="0" applyFont="1" applyBorder="1"/>
    <xf numFmtId="0" fontId="0" fillId="0" borderId="0" xfId="0" applyFont="1" applyAlignment="1"/>
    <xf numFmtId="0" fontId="0" fillId="0" borderId="0" xfId="0" applyFont="1" applyAlignment="1">
      <alignment horizontal="left"/>
    </xf>
    <xf numFmtId="165" fontId="40" fillId="15" borderId="0" xfId="0" applyNumberFormat="1" applyFont="1" applyFill="1"/>
    <xf numFmtId="2" fontId="42" fillId="0" borderId="0" xfId="0" applyNumberFormat="1" applyFont="1" applyFill="1"/>
    <xf numFmtId="2" fontId="22" fillId="0" borderId="0" xfId="0" applyNumberFormat="1" applyFont="1"/>
    <xf numFmtId="165" fontId="22" fillId="0" borderId="0" xfId="0" applyNumberFormat="1" applyFont="1"/>
    <xf numFmtId="2" fontId="22" fillId="0" borderId="0" xfId="0" applyNumberFormat="1" applyFont="1" applyFill="1"/>
    <xf numFmtId="14" fontId="21" fillId="0" borderId="1" xfId="0" applyNumberFormat="1" applyFont="1" applyBorder="1"/>
    <xf numFmtId="2" fontId="43" fillId="0" borderId="17" xfId="0" applyNumberFormat="1" applyFont="1" applyBorder="1" applyAlignment="1">
      <alignment horizontal="center" vertical="center" wrapText="1"/>
    </xf>
    <xf numFmtId="1" fontId="44" fillId="0" borderId="37" xfId="0" applyNumberFormat="1" applyFont="1" applyBorder="1" applyAlignment="1">
      <alignment horizontal="center" vertical="center" wrapText="1"/>
    </xf>
    <xf numFmtId="1" fontId="44" fillId="0" borderId="8" xfId="0" applyNumberFormat="1" applyFont="1" applyBorder="1" applyAlignment="1">
      <alignment horizontal="center" vertical="center" wrapText="1"/>
    </xf>
    <xf numFmtId="1" fontId="45" fillId="0" borderId="8" xfId="0" applyNumberFormat="1" applyFont="1" applyFill="1" applyBorder="1" applyAlignment="1">
      <alignment horizontal="center" vertical="center" wrapText="1"/>
    </xf>
    <xf numFmtId="1" fontId="44" fillId="0" borderId="38" xfId="0" applyNumberFormat="1" applyFont="1" applyBorder="1" applyAlignment="1">
      <alignment horizontal="center" vertical="center" wrapText="1"/>
    </xf>
    <xf numFmtId="165" fontId="44" fillId="0" borderId="17" xfId="0" applyNumberFormat="1" applyFont="1" applyBorder="1" applyAlignment="1">
      <alignment horizontal="right" vertical="center" wrapText="1"/>
    </xf>
    <xf numFmtId="2" fontId="43" fillId="0" borderId="20" xfId="0" applyNumberFormat="1" applyFont="1" applyBorder="1" applyAlignment="1">
      <alignment horizontal="left" vertical="center" wrapText="1"/>
    </xf>
    <xf numFmtId="2" fontId="46" fillId="16" borderId="10" xfId="0" applyNumberFormat="1" applyFont="1" applyFill="1" applyBorder="1" applyAlignment="1">
      <alignment horizontal="right" vertical="center" wrapText="1"/>
    </xf>
    <xf numFmtId="2" fontId="46" fillId="16" borderId="11" xfId="0" applyNumberFormat="1" applyFont="1" applyFill="1" applyBorder="1" applyAlignment="1">
      <alignment horizontal="right" vertical="center" wrapText="1"/>
    </xf>
    <xf numFmtId="2" fontId="47" fillId="0" borderId="11" xfId="0" applyNumberFormat="1" applyFont="1" applyFill="1" applyBorder="1" applyAlignment="1">
      <alignment horizontal="right" vertical="center" wrapText="1"/>
    </xf>
    <xf numFmtId="2" fontId="46" fillId="16" borderId="42" xfId="0" applyNumberFormat="1" applyFont="1" applyFill="1" applyBorder="1" applyAlignment="1">
      <alignment horizontal="right" vertical="center" wrapText="1"/>
    </xf>
    <xf numFmtId="2" fontId="48" fillId="0" borderId="21" xfId="0" applyNumberFormat="1" applyFont="1" applyFill="1" applyBorder="1" applyAlignment="1">
      <alignment horizontal="left" vertical="center" wrapText="1"/>
    </xf>
    <xf numFmtId="2" fontId="46" fillId="16" borderId="33" xfId="0" applyNumberFormat="1" applyFont="1" applyFill="1" applyBorder="1" applyAlignment="1">
      <alignment horizontal="right" vertical="center" wrapText="1"/>
    </xf>
    <xf numFmtId="2" fontId="46" fillId="16" borderId="25" xfId="0" applyNumberFormat="1" applyFont="1" applyFill="1" applyBorder="1" applyAlignment="1">
      <alignment horizontal="right" vertical="center" wrapText="1"/>
    </xf>
    <xf numFmtId="2" fontId="47" fillId="0" borderId="25" xfId="0" applyNumberFormat="1" applyFont="1" applyFill="1" applyBorder="1" applyAlignment="1">
      <alignment horizontal="right" vertical="center" wrapText="1"/>
    </xf>
    <xf numFmtId="2" fontId="46" fillId="16" borderId="43" xfId="0" applyNumberFormat="1" applyFont="1" applyFill="1" applyBorder="1" applyAlignment="1">
      <alignment horizontal="right" vertical="center" wrapText="1"/>
    </xf>
    <xf numFmtId="2" fontId="48" fillId="0" borderId="40" xfId="0" applyNumberFormat="1" applyFont="1" applyFill="1" applyBorder="1" applyAlignment="1">
      <alignment horizontal="left" vertical="center" wrapText="1"/>
    </xf>
    <xf numFmtId="2" fontId="46" fillId="16" borderId="3" xfId="0" applyNumberFormat="1" applyFont="1" applyFill="1" applyBorder="1" applyAlignment="1">
      <alignment horizontal="right" vertical="center" wrapText="1"/>
    </xf>
    <xf numFmtId="2" fontId="46" fillId="16" borderId="1" xfId="0" applyNumberFormat="1" applyFont="1" applyFill="1" applyBorder="1" applyAlignment="1">
      <alignment horizontal="right" vertical="center" wrapText="1"/>
    </xf>
    <xf numFmtId="2" fontId="46" fillId="0" borderId="1" xfId="0" applyNumberFormat="1" applyFont="1" applyBorder="1" applyAlignment="1">
      <alignment horizontal="right" vertical="center" wrapText="1"/>
    </xf>
    <xf numFmtId="2" fontId="47" fillId="0" borderId="1" xfId="0" applyNumberFormat="1" applyFont="1" applyFill="1" applyBorder="1" applyAlignment="1">
      <alignment horizontal="right" vertical="center" wrapText="1"/>
    </xf>
    <xf numFmtId="2" fontId="46" fillId="16" borderId="14" xfId="0" applyNumberFormat="1" applyFont="1" applyFill="1" applyBorder="1" applyAlignment="1">
      <alignment horizontal="right" vertical="center" wrapText="1"/>
    </xf>
    <xf numFmtId="2" fontId="48" fillId="0" borderId="46" xfId="0" applyNumberFormat="1" applyFont="1" applyFill="1" applyBorder="1" applyAlignment="1">
      <alignment horizontal="left" vertical="center" wrapText="1"/>
    </xf>
    <xf numFmtId="2" fontId="46" fillId="16" borderId="22" xfId="0" applyNumberFormat="1" applyFont="1" applyFill="1" applyBorder="1" applyAlignment="1">
      <alignment horizontal="right" vertical="center" wrapText="1"/>
    </xf>
    <xf numFmtId="2" fontId="46" fillId="16" borderId="12" xfId="0" applyNumberFormat="1" applyFont="1" applyFill="1" applyBorder="1" applyAlignment="1">
      <alignment horizontal="right" vertical="center" wrapText="1"/>
    </xf>
    <xf numFmtId="2" fontId="46" fillId="0" borderId="12" xfId="0" applyNumberFormat="1" applyFont="1" applyBorder="1" applyAlignment="1">
      <alignment horizontal="right" vertical="center" wrapText="1"/>
    </xf>
    <xf numFmtId="2" fontId="47" fillId="0" borderId="12" xfId="0" applyNumberFormat="1" applyFont="1" applyFill="1" applyBorder="1" applyAlignment="1">
      <alignment horizontal="right" vertical="center" wrapText="1"/>
    </xf>
    <xf numFmtId="2" fontId="46" fillId="16" borderId="47" xfId="0" applyNumberFormat="1" applyFont="1" applyFill="1" applyBorder="1" applyAlignment="1">
      <alignment horizontal="right" vertical="center" wrapText="1"/>
    </xf>
    <xf numFmtId="2" fontId="46" fillId="0" borderId="10" xfId="0" applyNumberFormat="1" applyFont="1" applyBorder="1" applyAlignment="1">
      <alignment horizontal="right" vertical="center" wrapText="1"/>
    </xf>
    <xf numFmtId="2" fontId="46" fillId="0" borderId="11" xfId="0" applyNumberFormat="1" applyFont="1" applyBorder="1" applyAlignment="1">
      <alignment horizontal="right" vertical="center" wrapText="1"/>
    </xf>
    <xf numFmtId="2" fontId="43" fillId="0" borderId="36" xfId="0" applyNumberFormat="1" applyFont="1" applyBorder="1" applyAlignment="1">
      <alignment horizontal="left" vertical="center" wrapText="1"/>
    </xf>
    <xf numFmtId="2" fontId="46" fillId="16" borderId="24" xfId="0" applyNumberFormat="1" applyFont="1" applyFill="1" applyBorder="1" applyAlignment="1">
      <alignment horizontal="right" vertical="center" wrapText="1"/>
    </xf>
    <xf numFmtId="2" fontId="46" fillId="16" borderId="8" xfId="0" applyNumberFormat="1" applyFont="1" applyFill="1" applyBorder="1" applyAlignment="1">
      <alignment horizontal="right" vertical="center" wrapText="1"/>
    </xf>
    <xf numFmtId="2" fontId="46" fillId="0" borderId="8" xfId="0" applyNumberFormat="1" applyFont="1" applyFill="1" applyBorder="1" applyAlignment="1">
      <alignment horizontal="right" vertical="center" wrapText="1"/>
    </xf>
    <xf numFmtId="2" fontId="47" fillId="0" borderId="8" xfId="0" applyNumberFormat="1" applyFont="1" applyFill="1" applyBorder="1" applyAlignment="1">
      <alignment horizontal="right" vertical="center" wrapText="1"/>
    </xf>
    <xf numFmtId="2" fontId="46" fillId="16" borderId="38" xfId="0" applyNumberFormat="1" applyFont="1" applyFill="1" applyBorder="1" applyAlignment="1">
      <alignment horizontal="right" vertical="center" wrapText="1"/>
    </xf>
    <xf numFmtId="2" fontId="46" fillId="0" borderId="1" xfId="0" applyNumberFormat="1" applyFont="1" applyFill="1" applyBorder="1" applyAlignment="1">
      <alignment horizontal="right" vertical="center" wrapText="1"/>
    </xf>
    <xf numFmtId="2" fontId="46" fillId="16" borderId="4" xfId="0" applyNumberFormat="1" applyFont="1" applyFill="1" applyBorder="1" applyAlignment="1">
      <alignment horizontal="right" vertical="center" wrapText="1"/>
    </xf>
    <xf numFmtId="2" fontId="48" fillId="0" borderId="45" xfId="0" applyNumberFormat="1" applyFont="1" applyBorder="1" applyAlignment="1">
      <alignment horizontal="left" vertical="center" wrapText="1"/>
    </xf>
    <xf numFmtId="2" fontId="46" fillId="18" borderId="3" xfId="0" applyNumberFormat="1" applyFont="1" applyFill="1" applyBorder="1" applyAlignment="1">
      <alignment horizontal="right" vertical="center" wrapText="1"/>
    </xf>
    <xf numFmtId="2" fontId="46" fillId="18" borderId="1" xfId="0" applyNumberFormat="1" applyFont="1" applyFill="1" applyBorder="1" applyAlignment="1">
      <alignment horizontal="right" vertical="center" wrapText="1"/>
    </xf>
    <xf numFmtId="2" fontId="46" fillId="0" borderId="3" xfId="0" applyNumberFormat="1" applyFont="1" applyFill="1" applyBorder="1" applyAlignment="1">
      <alignment horizontal="right" vertical="center" wrapText="1"/>
    </xf>
    <xf numFmtId="2" fontId="46" fillId="0" borderId="22" xfId="0" applyNumberFormat="1" applyFont="1" applyFill="1" applyBorder="1" applyAlignment="1">
      <alignment horizontal="right" vertical="center" wrapText="1"/>
    </xf>
    <xf numFmtId="2" fontId="46" fillId="0" borderId="12" xfId="0" applyNumberFormat="1" applyFont="1" applyFill="1" applyBorder="1" applyAlignment="1">
      <alignment horizontal="right" vertical="center" wrapText="1"/>
    </xf>
    <xf numFmtId="2" fontId="48" fillId="0" borderId="49" xfId="0" applyNumberFormat="1" applyFont="1" applyBorder="1" applyAlignment="1">
      <alignment horizontal="left" vertical="center" wrapText="1"/>
    </xf>
    <xf numFmtId="2" fontId="46" fillId="18" borderId="12" xfId="0" applyNumberFormat="1" applyFont="1" applyFill="1" applyBorder="1" applyAlignment="1">
      <alignment horizontal="right" vertical="center" wrapText="1"/>
    </xf>
    <xf numFmtId="2" fontId="43" fillId="0" borderId="21" xfId="0" applyNumberFormat="1" applyFont="1" applyBorder="1" applyAlignment="1">
      <alignment horizontal="left" vertical="center" wrapText="1"/>
    </xf>
    <xf numFmtId="2" fontId="48" fillId="0" borderId="40" xfId="0" applyNumberFormat="1" applyFont="1" applyBorder="1" applyAlignment="1">
      <alignment horizontal="left" vertical="center" wrapText="1"/>
    </xf>
    <xf numFmtId="2" fontId="46" fillId="0" borderId="14" xfId="0" applyNumberFormat="1" applyFont="1" applyFill="1" applyBorder="1" applyAlignment="1">
      <alignment horizontal="right" vertical="center" wrapText="1"/>
    </xf>
    <xf numFmtId="2" fontId="48" fillId="0" borderId="46" xfId="0" applyNumberFormat="1" applyFont="1" applyBorder="1" applyAlignment="1">
      <alignment horizontal="left" vertical="center" wrapText="1"/>
    </xf>
    <xf numFmtId="2" fontId="48" fillId="0" borderId="21" xfId="0" applyNumberFormat="1" applyFont="1" applyBorder="1" applyAlignment="1">
      <alignment horizontal="left" vertical="center" wrapText="1"/>
    </xf>
    <xf numFmtId="2" fontId="46" fillId="0" borderId="22" xfId="0" applyNumberFormat="1" applyFont="1" applyBorder="1" applyAlignment="1">
      <alignment horizontal="right" vertical="center" wrapText="1"/>
    </xf>
    <xf numFmtId="2" fontId="46" fillId="0" borderId="33" xfId="0" applyNumberFormat="1" applyFont="1" applyBorder="1" applyAlignment="1">
      <alignment horizontal="right" vertical="center" wrapText="1"/>
    </xf>
    <xf numFmtId="2" fontId="46" fillId="0" borderId="25" xfId="0" applyNumberFormat="1" applyFont="1" applyBorder="1" applyAlignment="1">
      <alignment horizontal="right" vertical="center" wrapText="1"/>
    </xf>
    <xf numFmtId="2" fontId="46" fillId="0" borderId="25" xfId="0" applyNumberFormat="1" applyFont="1" applyFill="1" applyBorder="1" applyAlignment="1">
      <alignment horizontal="right" vertical="center" wrapText="1"/>
    </xf>
    <xf numFmtId="2" fontId="46" fillId="0" borderId="43" xfId="0" applyNumberFormat="1" applyFont="1" applyFill="1" applyBorder="1" applyAlignment="1">
      <alignment horizontal="right" vertical="center" wrapText="1"/>
    </xf>
    <xf numFmtId="2" fontId="46" fillId="0" borderId="27" xfId="0" applyNumberFormat="1" applyFont="1" applyBorder="1" applyAlignment="1">
      <alignment horizontal="right" vertical="center" wrapText="1"/>
    </xf>
    <xf numFmtId="2" fontId="46" fillId="0" borderId="5" xfId="0" applyNumberFormat="1" applyFont="1" applyBorder="1" applyAlignment="1">
      <alignment horizontal="right" vertical="center" wrapText="1"/>
    </xf>
    <xf numFmtId="2" fontId="47" fillId="0" borderId="5" xfId="0" applyNumberFormat="1" applyFont="1" applyFill="1" applyBorder="1" applyAlignment="1">
      <alignment horizontal="right" vertical="center" wrapText="1"/>
    </xf>
    <xf numFmtId="2" fontId="46" fillId="16" borderId="5" xfId="0" applyNumberFormat="1" applyFont="1" applyFill="1" applyBorder="1" applyAlignment="1">
      <alignment horizontal="right" vertical="center" wrapText="1"/>
    </xf>
    <xf numFmtId="2" fontId="46" fillId="0" borderId="5" xfId="0" applyNumberFormat="1" applyFont="1" applyFill="1" applyBorder="1" applyAlignment="1">
      <alignment horizontal="right" vertical="center" wrapText="1"/>
    </xf>
    <xf numFmtId="2" fontId="46" fillId="0" borderId="13" xfId="0" applyNumberFormat="1" applyFont="1" applyFill="1" applyBorder="1" applyAlignment="1">
      <alignment horizontal="right" vertical="center" wrapText="1"/>
    </xf>
    <xf numFmtId="2" fontId="43" fillId="0" borderId="18" xfId="0" applyNumberFormat="1" applyFont="1" applyBorder="1" applyAlignment="1">
      <alignment horizontal="right" vertical="center" wrapText="1"/>
    </xf>
    <xf numFmtId="0" fontId="9" fillId="0" borderId="0" xfId="0" applyFont="1"/>
    <xf numFmtId="0" fontId="49" fillId="0" borderId="0" xfId="0" applyFont="1" applyFill="1"/>
    <xf numFmtId="165" fontId="0" fillId="0" borderId="0" xfId="0" applyNumberFormat="1"/>
    <xf numFmtId="0" fontId="50" fillId="19" borderId="50" xfId="0" applyFont="1" applyFill="1" applyBorder="1" applyAlignment="1">
      <alignment vertical="center"/>
    </xf>
    <xf numFmtId="0" fontId="50" fillId="19" borderId="51" xfId="0" applyFont="1" applyFill="1" applyBorder="1" applyAlignment="1">
      <alignment horizontal="right" vertical="center"/>
    </xf>
    <xf numFmtId="0" fontId="50" fillId="19" borderId="52" xfId="0" applyFont="1" applyFill="1" applyBorder="1" applyAlignment="1">
      <alignment horizontal="right" vertical="center"/>
    </xf>
    <xf numFmtId="0" fontId="51" fillId="0" borderId="53" xfId="0" applyFont="1" applyBorder="1" applyAlignment="1">
      <alignment vertical="center"/>
    </xf>
    <xf numFmtId="2" fontId="52" fillId="0" borderId="54" xfId="0" applyNumberFormat="1" applyFont="1" applyBorder="1" applyAlignment="1">
      <alignment horizontal="right" vertical="center"/>
    </xf>
    <xf numFmtId="2" fontId="52" fillId="0" borderId="55" xfId="0" applyNumberFormat="1" applyFont="1" applyBorder="1" applyAlignment="1">
      <alignment horizontal="right" vertical="center"/>
    </xf>
    <xf numFmtId="0" fontId="51" fillId="0" borderId="56" xfId="0" applyFont="1" applyBorder="1" applyAlignment="1">
      <alignment vertical="center"/>
    </xf>
    <xf numFmtId="2" fontId="52" fillId="0" borderId="0" xfId="0" applyNumberFormat="1" applyFont="1" applyAlignment="1">
      <alignment horizontal="right" vertical="center"/>
    </xf>
    <xf numFmtId="2" fontId="52" fillId="0" borderId="57" xfId="0" applyNumberFormat="1" applyFont="1" applyBorder="1" applyAlignment="1">
      <alignment horizontal="right" vertical="center"/>
    </xf>
    <xf numFmtId="4" fontId="51" fillId="0" borderId="55" xfId="0" applyNumberFormat="1" applyFont="1" applyBorder="1" applyAlignment="1">
      <alignment horizontal="right" vertical="center"/>
    </xf>
    <xf numFmtId="0" fontId="53" fillId="16" borderId="58" xfId="0" applyFont="1" applyFill="1" applyBorder="1" applyAlignment="1">
      <alignment horizontal="justify" vertical="center" wrapText="1"/>
    </xf>
    <xf numFmtId="0" fontId="54" fillId="16" borderId="58" xfId="0" applyFont="1" applyFill="1" applyBorder="1" applyAlignment="1">
      <alignment vertical="center" wrapText="1"/>
    </xf>
    <xf numFmtId="0" fontId="54" fillId="16" borderId="58" xfId="0" applyFont="1" applyFill="1" applyBorder="1" applyAlignment="1">
      <alignment horizontal="center" vertical="center" wrapText="1"/>
    </xf>
    <xf numFmtId="0" fontId="53" fillId="16" borderId="59" xfId="0" applyFont="1" applyFill="1" applyBorder="1" applyAlignment="1">
      <alignment vertical="center" wrapText="1"/>
    </xf>
    <xf numFmtId="0" fontId="55" fillId="16" borderId="60" xfId="0" applyFont="1" applyFill="1" applyBorder="1" applyAlignment="1">
      <alignment vertical="center" wrapText="1"/>
    </xf>
    <xf numFmtId="4" fontId="56" fillId="0" borderId="61" xfId="0" applyNumberFormat="1" applyFont="1" applyBorder="1" applyAlignment="1">
      <alignment vertical="center" wrapText="1"/>
    </xf>
    <xf numFmtId="4" fontId="57" fillId="20" borderId="61" xfId="0" applyNumberFormat="1" applyFont="1" applyFill="1" applyBorder="1" applyAlignment="1">
      <alignment vertical="center" wrapText="1"/>
    </xf>
    <xf numFmtId="0" fontId="53" fillId="16" borderId="0" xfId="0" applyFont="1" applyFill="1" applyAlignment="1">
      <alignment vertical="center" wrapText="1"/>
    </xf>
    <xf numFmtId="0" fontId="55" fillId="16" borderId="62" xfId="0" applyFont="1" applyFill="1" applyBorder="1" applyAlignment="1">
      <alignment vertical="center" wrapText="1"/>
    </xf>
    <xf numFmtId="4" fontId="56" fillId="0" borderId="63" xfId="0" applyNumberFormat="1" applyFont="1" applyBorder="1" applyAlignment="1">
      <alignment horizontal="right" vertical="center" wrapText="1"/>
    </xf>
    <xf numFmtId="4" fontId="57" fillId="0" borderId="63" xfId="0" applyNumberFormat="1" applyFont="1" applyBorder="1" applyAlignment="1">
      <alignment horizontal="right" vertical="center" wrapText="1"/>
    </xf>
    <xf numFmtId="0" fontId="57" fillId="0" borderId="63" xfId="0" applyFont="1" applyBorder="1" applyAlignment="1">
      <alignment horizontal="right" vertical="center" wrapText="1"/>
    </xf>
    <xf numFmtId="4" fontId="57" fillId="20" borderId="63" xfId="0" applyNumberFormat="1" applyFont="1" applyFill="1" applyBorder="1" applyAlignment="1">
      <alignment horizontal="right" vertical="center" wrapText="1"/>
    </xf>
    <xf numFmtId="0" fontId="57" fillId="20" borderId="63" xfId="0" applyFont="1" applyFill="1" applyBorder="1" applyAlignment="1">
      <alignment horizontal="right" vertical="center" wrapText="1"/>
    </xf>
    <xf numFmtId="0" fontId="57" fillId="20" borderId="64" xfId="0" applyFont="1" applyFill="1" applyBorder="1" applyAlignment="1">
      <alignment horizontal="right" vertical="center" wrapText="1"/>
    </xf>
    <xf numFmtId="4" fontId="0" fillId="0" borderId="0" xfId="0" applyNumberFormat="1"/>
    <xf numFmtId="4" fontId="9" fillId="0" borderId="1" xfId="0" applyNumberFormat="1" applyFont="1" applyBorder="1"/>
    <xf numFmtId="4" fontId="9" fillId="7" borderId="1" xfId="3" applyNumberFormat="1" applyFont="1" applyFill="1" applyBorder="1"/>
    <xf numFmtId="4" fontId="9" fillId="0" borderId="1" xfId="0" applyNumberFormat="1" applyFont="1" applyBorder="1" applyAlignment="1">
      <alignment wrapText="1"/>
    </xf>
    <xf numFmtId="4" fontId="9" fillId="2" borderId="1" xfId="1" applyNumberFormat="1" applyFont="1" applyBorder="1"/>
    <xf numFmtId="4" fontId="13" fillId="7" borderId="1" xfId="5" applyNumberFormat="1" applyFont="1" applyFill="1" applyBorder="1"/>
    <xf numFmtId="4" fontId="12" fillId="7" borderId="1" xfId="5" applyNumberFormat="1" applyFont="1" applyFill="1" applyBorder="1"/>
    <xf numFmtId="4" fontId="10" fillId="7" borderId="1" xfId="5" applyNumberFormat="1" applyFont="1" applyFill="1" applyBorder="1"/>
    <xf numFmtId="4" fontId="13" fillId="0" borderId="1" xfId="0" applyNumberFormat="1" applyFont="1" applyBorder="1" applyAlignment="1">
      <alignment wrapText="1"/>
    </xf>
    <xf numFmtId="4" fontId="13" fillId="7" borderId="1" xfId="2" applyNumberFormat="1" applyFont="1" applyFill="1" applyBorder="1"/>
    <xf numFmtId="4" fontId="13" fillId="0" borderId="1" xfId="0" applyNumberFormat="1" applyFont="1" applyBorder="1"/>
    <xf numFmtId="4" fontId="9" fillId="7" borderId="1" xfId="2" applyNumberFormat="1" applyFont="1" applyFill="1" applyBorder="1"/>
    <xf numFmtId="4" fontId="10" fillId="0" borderId="1" xfId="0" applyNumberFormat="1" applyFont="1" applyBorder="1" applyAlignment="1">
      <alignment wrapText="1"/>
    </xf>
    <xf numFmtId="4" fontId="10" fillId="7" borderId="1" xfId="2" applyNumberFormat="1" applyFont="1" applyFill="1" applyBorder="1"/>
    <xf numFmtId="4" fontId="12" fillId="7" borderId="1" xfId="2" applyNumberFormat="1" applyFont="1" applyFill="1" applyBorder="1"/>
    <xf numFmtId="4" fontId="10" fillId="0" borderId="1" xfId="0" applyNumberFormat="1" applyFont="1" applyBorder="1"/>
    <xf numFmtId="4" fontId="12" fillId="7" borderId="1" xfId="5" applyNumberFormat="1" applyFont="1" applyFill="1" applyBorder="1" applyAlignment="1">
      <alignment wrapText="1"/>
    </xf>
    <xf numFmtId="4" fontId="10" fillId="7" borderId="1" xfId="5" applyNumberFormat="1" applyFont="1" applyFill="1" applyBorder="1" applyAlignment="1">
      <alignment wrapText="1"/>
    </xf>
    <xf numFmtId="4" fontId="10" fillId="0" borderId="1" xfId="0" applyNumberFormat="1" applyFont="1" applyBorder="1" applyAlignment="1">
      <alignment vertical="center" wrapText="1"/>
    </xf>
    <xf numFmtId="4" fontId="12" fillId="0" borderId="1" xfId="0" applyNumberFormat="1" applyFont="1" applyBorder="1" applyAlignment="1">
      <alignment vertical="center" wrapText="1"/>
    </xf>
    <xf numFmtId="2" fontId="45" fillId="17" borderId="9" xfId="0" applyNumberFormat="1" applyFont="1" applyFill="1" applyBorder="1" applyAlignment="1">
      <alignment horizontal="right" vertical="center" wrapText="1"/>
    </xf>
    <xf numFmtId="165" fontId="45" fillId="17" borderId="18" xfId="0" applyNumberFormat="1" applyFont="1" applyFill="1" applyBorder="1" applyAlignment="1">
      <alignment horizontal="right" vertical="center" wrapText="1"/>
    </xf>
    <xf numFmtId="165" fontId="59" fillId="0" borderId="1" xfId="0" applyNumberFormat="1" applyFont="1" applyBorder="1"/>
    <xf numFmtId="165" fontId="44" fillId="0" borderId="18" xfId="0" applyNumberFormat="1" applyFont="1" applyFill="1" applyBorder="1" applyAlignment="1">
      <alignment horizontal="right" vertical="center" wrapText="1"/>
    </xf>
    <xf numFmtId="165" fontId="44" fillId="0" borderId="44" xfId="0" applyNumberFormat="1" applyFont="1" applyFill="1" applyBorder="1" applyAlignment="1">
      <alignment horizontal="right" vertical="center" wrapText="1"/>
    </xf>
    <xf numFmtId="165" fontId="44" fillId="0" borderId="45" xfId="0" applyNumberFormat="1" applyFont="1" applyFill="1" applyBorder="1" applyAlignment="1">
      <alignment horizontal="right" vertical="center" wrapText="1"/>
    </xf>
    <xf numFmtId="165" fontId="44" fillId="0" borderId="48" xfId="0" applyNumberFormat="1" applyFont="1" applyFill="1" applyBorder="1" applyAlignment="1">
      <alignment horizontal="right" vertical="center" wrapText="1"/>
    </xf>
    <xf numFmtId="165" fontId="44" fillId="17" borderId="48" xfId="0" applyNumberFormat="1" applyFont="1" applyFill="1" applyBorder="1" applyAlignment="1">
      <alignment horizontal="right" vertical="center" wrapText="1"/>
    </xf>
    <xf numFmtId="165" fontId="44" fillId="0" borderId="49" xfId="0" applyNumberFormat="1" applyFont="1" applyFill="1" applyBorder="1" applyAlignment="1">
      <alignment horizontal="right" vertical="center" wrapText="1"/>
    </xf>
    <xf numFmtId="43" fontId="60" fillId="0" borderId="0" xfId="0" applyNumberFormat="1" applyFont="1" applyAlignment="1">
      <alignment vertical="center"/>
    </xf>
    <xf numFmtId="165" fontId="9" fillId="0" borderId="0" xfId="0" applyNumberFormat="1" applyFont="1" applyAlignment="1">
      <alignment horizontal="center"/>
    </xf>
    <xf numFmtId="165" fontId="9" fillId="0" borderId="16" xfId="0" applyNumberFormat="1" applyFont="1" applyBorder="1" applyAlignment="1">
      <alignment horizontal="center" vertical="center" wrapText="1"/>
    </xf>
    <xf numFmtId="164" fontId="9" fillId="7" borderId="1" xfId="26" applyFont="1" applyFill="1" applyBorder="1"/>
    <xf numFmtId="164" fontId="13" fillId="7" borderId="1" xfId="26" applyFont="1" applyFill="1" applyBorder="1"/>
    <xf numFmtId="4" fontId="9" fillId="21" borderId="1" xfId="1" applyNumberFormat="1" applyFont="1" applyFill="1" applyBorder="1"/>
    <xf numFmtId="165" fontId="12" fillId="0" borderId="1" xfId="0" applyNumberFormat="1" applyFont="1" applyBorder="1" applyAlignment="1">
      <alignment horizontal="center" vertical="center"/>
    </xf>
    <xf numFmtId="165" fontId="12" fillId="0" borderId="1" xfId="0" applyNumberFormat="1" applyFont="1" applyBorder="1" applyAlignment="1">
      <alignment horizontal="center" vertical="center" wrapText="1"/>
    </xf>
    <xf numFmtId="4" fontId="9" fillId="0" borderId="1" xfId="0" quotePrefix="1" applyNumberFormat="1" applyFont="1" applyBorder="1" applyAlignment="1">
      <alignment horizontal="center" vertical="center"/>
    </xf>
    <xf numFmtId="4" fontId="9" fillId="0" borderId="1" xfId="0" quotePrefix="1" applyNumberFormat="1" applyFont="1" applyBorder="1" applyAlignment="1">
      <alignment vertical="center"/>
    </xf>
    <xf numFmtId="4" fontId="13" fillId="7" borderId="1" xfId="5" quotePrefix="1" applyNumberFormat="1" applyFont="1" applyFill="1" applyBorder="1" applyAlignment="1">
      <alignment vertical="center"/>
    </xf>
    <xf numFmtId="4" fontId="10" fillId="7" borderId="1" xfId="5" quotePrefix="1" applyNumberFormat="1" applyFont="1" applyFill="1" applyBorder="1" applyAlignment="1">
      <alignment vertical="center"/>
    </xf>
    <xf numFmtId="4" fontId="13" fillId="0" borderId="1" xfId="0" quotePrefix="1" applyNumberFormat="1" applyFont="1" applyBorder="1" applyAlignment="1">
      <alignment vertical="center"/>
    </xf>
    <xf numFmtId="4" fontId="12" fillId="0" borderId="1" xfId="0" quotePrefix="1" applyNumberFormat="1" applyFont="1" applyBorder="1" applyAlignment="1">
      <alignment vertical="center"/>
    </xf>
    <xf numFmtId="4" fontId="12" fillId="7" borderId="1" xfId="5" quotePrefix="1" applyNumberFormat="1" applyFont="1" applyFill="1" applyBorder="1" applyAlignment="1">
      <alignment vertical="center"/>
    </xf>
    <xf numFmtId="4" fontId="10" fillId="0" borderId="1" xfId="0" quotePrefix="1" applyNumberFormat="1" applyFont="1" applyBorder="1" applyAlignment="1">
      <alignment vertical="center"/>
    </xf>
    <xf numFmtId="4" fontId="9" fillId="4" borderId="1" xfId="4" applyNumberFormat="1" applyFont="1" applyBorder="1"/>
    <xf numFmtId="4" fontId="15" fillId="6" borderId="1" xfId="6" applyNumberFormat="1" applyFont="1" applyBorder="1"/>
    <xf numFmtId="164" fontId="9" fillId="0" borderId="0" xfId="26" applyFont="1"/>
    <xf numFmtId="165" fontId="13" fillId="0" borderId="1" xfId="0" applyNumberFormat="1" applyFont="1" applyBorder="1" applyAlignment="1">
      <alignment horizontal="center" vertical="center" wrapText="1"/>
    </xf>
    <xf numFmtId="165" fontId="9" fillId="0" borderId="1" xfId="0" quotePrefix="1" applyNumberFormat="1" applyFont="1" applyBorder="1" applyAlignment="1">
      <alignment horizontal="center" vertical="center"/>
    </xf>
    <xf numFmtId="165" fontId="10" fillId="0" borderId="1" xfId="0" quotePrefix="1" applyNumberFormat="1" applyFont="1" applyBorder="1" applyAlignment="1">
      <alignment horizontal="center" vertical="center"/>
    </xf>
    <xf numFmtId="165" fontId="13" fillId="0" borderId="1" xfId="0" quotePrefix="1" applyNumberFormat="1" applyFont="1" applyBorder="1" applyAlignment="1">
      <alignment vertical="center"/>
    </xf>
    <xf numFmtId="164" fontId="13" fillId="0" borderId="1" xfId="26" applyFont="1" applyBorder="1"/>
    <xf numFmtId="0" fontId="14" fillId="8" borderId="1" xfId="7" quotePrefix="1" applyFont="1" applyBorder="1"/>
    <xf numFmtId="165" fontId="14" fillId="8" borderId="1" xfId="7" applyNumberFormat="1" applyFont="1" applyBorder="1" applyAlignment="1">
      <alignment wrapText="1"/>
    </xf>
    <xf numFmtId="164" fontId="60" fillId="0" borderId="1" xfId="26" applyFont="1" applyBorder="1" applyAlignment="1">
      <alignment vertical="center"/>
    </xf>
    <xf numFmtId="164" fontId="14" fillId="8" borderId="1" xfId="26" applyFont="1" applyFill="1" applyBorder="1"/>
    <xf numFmtId="165" fontId="14" fillId="8" borderId="1" xfId="7" applyNumberFormat="1" applyFont="1" applyBorder="1"/>
    <xf numFmtId="165" fontId="13" fillId="0" borderId="1" xfId="0" applyNumberFormat="1" applyFont="1" applyBorder="1" applyAlignment="1">
      <alignment wrapText="1"/>
    </xf>
    <xf numFmtId="165" fontId="13" fillId="2" borderId="1" xfId="1" applyNumberFormat="1" applyFont="1" applyBorder="1"/>
    <xf numFmtId="165" fontId="9" fillId="0" borderId="1" xfId="0" applyNumberFormat="1" applyFont="1" applyBorder="1" applyAlignment="1">
      <alignment vertical="center"/>
    </xf>
    <xf numFmtId="165" fontId="9" fillId="0" borderId="0" xfId="0" applyNumberFormat="1" applyFont="1" applyAlignment="1">
      <alignment horizontal="center"/>
    </xf>
    <xf numFmtId="49" fontId="29" fillId="0" borderId="2" xfId="0" applyNumberFormat="1" applyFont="1" applyBorder="1" applyAlignment="1"/>
    <xf numFmtId="4" fontId="29" fillId="0" borderId="1" xfId="6" applyNumberFormat="1" applyFont="1" applyFill="1" applyBorder="1"/>
    <xf numFmtId="4" fontId="33" fillId="22" borderId="1" xfId="4" applyNumberFormat="1" applyFont="1" applyFill="1" applyBorder="1"/>
    <xf numFmtId="165" fontId="12" fillId="22" borderId="0" xfId="0" applyNumberFormat="1" applyFont="1" applyFill="1" applyAlignment="1">
      <alignment horizontal="center" vertical="center" wrapText="1"/>
    </xf>
    <xf numFmtId="165" fontId="12" fillId="0" borderId="0" xfId="0" applyNumberFormat="1" applyFont="1" applyFill="1" applyAlignment="1">
      <alignment horizontal="center" vertical="top" wrapText="1"/>
    </xf>
    <xf numFmtId="165" fontId="12" fillId="0" borderId="0" xfId="0" applyNumberFormat="1" applyFont="1" applyFill="1" applyAlignment="1">
      <alignment horizontal="center" vertical="center" wrapText="1"/>
    </xf>
    <xf numFmtId="165" fontId="9" fillId="0" borderId="0" xfId="0" applyNumberFormat="1" applyFont="1" applyFill="1"/>
    <xf numFmtId="165" fontId="9" fillId="0" borderId="0" xfId="0" applyNumberFormat="1" applyFont="1" applyFill="1" applyAlignment="1">
      <alignment horizontal="center"/>
    </xf>
    <xf numFmtId="164" fontId="10" fillId="0" borderId="0" xfId="26" applyFont="1"/>
    <xf numFmtId="165" fontId="9" fillId="0" borderId="15" xfId="0" applyNumberFormat="1" applyFont="1" applyBorder="1" applyAlignment="1">
      <alignment horizontal="center" vertical="center" wrapText="1"/>
    </xf>
    <xf numFmtId="165" fontId="9" fillId="0" borderId="16" xfId="0" applyNumberFormat="1" applyFont="1" applyBorder="1" applyAlignment="1">
      <alignment horizontal="center" vertical="center" wrapText="1"/>
    </xf>
    <xf numFmtId="165" fontId="9" fillId="0" borderId="15" xfId="0" applyNumberFormat="1" applyFont="1" applyBorder="1" applyAlignment="1">
      <alignment horizontal="center" vertical="center"/>
    </xf>
    <xf numFmtId="165" fontId="9" fillId="0" borderId="16" xfId="0" applyNumberFormat="1" applyFont="1" applyBorder="1" applyAlignment="1">
      <alignment horizontal="center" vertical="center"/>
    </xf>
    <xf numFmtId="165" fontId="9" fillId="0" borderId="17" xfId="0" applyNumberFormat="1" applyFont="1" applyBorder="1" applyAlignment="1">
      <alignment horizontal="center" vertical="center"/>
    </xf>
    <xf numFmtId="4" fontId="33" fillId="22" borderId="1" xfId="0" applyNumberFormat="1" applyFont="1" applyFill="1" applyBorder="1" applyAlignment="1">
      <alignment vertical="center"/>
    </xf>
    <xf numFmtId="4" fontId="61" fillId="0" borderId="1" xfId="0" applyNumberFormat="1" applyFont="1" applyBorder="1" applyAlignment="1">
      <alignment vertical="center"/>
    </xf>
    <xf numFmtId="4" fontId="12" fillId="21" borderId="1" xfId="0" applyNumberFormat="1" applyFont="1" applyFill="1" applyBorder="1" applyAlignment="1">
      <alignment vertical="center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vertical="center" wrapText="1"/>
    </xf>
    <xf numFmtId="165" fontId="9" fillId="0" borderId="17" xfId="0" applyNumberFormat="1" applyFont="1" applyBorder="1" applyAlignment="1">
      <alignment horizontal="center" vertical="center" wrapText="1"/>
    </xf>
    <xf numFmtId="0" fontId="25" fillId="10" borderId="65" xfId="16" applyBorder="1" applyAlignment="1">
      <alignment horizontal="center" vertical="center" wrapText="1"/>
    </xf>
    <xf numFmtId="0" fontId="25" fillId="10" borderId="66" xfId="16" applyBorder="1" applyAlignment="1">
      <alignment horizontal="center" vertical="center" wrapText="1"/>
    </xf>
    <xf numFmtId="165" fontId="11" fillId="0" borderId="1" xfId="0" applyNumberFormat="1" applyFont="1" applyBorder="1" applyAlignment="1">
      <alignment horizontal="center" vertical="center"/>
    </xf>
    <xf numFmtId="165" fontId="12" fillId="0" borderId="0" xfId="0" applyNumberFormat="1" applyFont="1" applyAlignment="1">
      <alignment horizontal="center" vertical="top"/>
    </xf>
    <xf numFmtId="165" fontId="33" fillId="22" borderId="0" xfId="0" applyNumberFormat="1" applyFont="1" applyFill="1" applyAlignment="1">
      <alignment horizontal="center" wrapText="1"/>
    </xf>
    <xf numFmtId="165" fontId="9" fillId="0" borderId="2" xfId="0" applyNumberFormat="1" applyFont="1" applyBorder="1" applyAlignment="1">
      <alignment horizontal="left" vertical="top"/>
    </xf>
    <xf numFmtId="165" fontId="12" fillId="0" borderId="1" xfId="0" applyNumberFormat="1" applyFont="1" applyBorder="1" applyAlignment="1">
      <alignment horizontal="center" vertical="center" wrapText="1"/>
    </xf>
    <xf numFmtId="165" fontId="12" fillId="22" borderId="0" xfId="0" applyNumberFormat="1" applyFont="1" applyFill="1" applyAlignment="1">
      <alignment horizontal="center" vertical="top" wrapText="1"/>
    </xf>
    <xf numFmtId="165" fontId="9" fillId="0" borderId="0" xfId="0" applyNumberFormat="1" applyFont="1" applyBorder="1" applyAlignment="1">
      <alignment horizontal="left"/>
    </xf>
    <xf numFmtId="165" fontId="9" fillId="0" borderId="0" xfId="0" applyNumberFormat="1" applyFont="1" applyBorder="1" applyAlignment="1">
      <alignment horizontal="left" vertical="center"/>
    </xf>
    <xf numFmtId="165" fontId="62" fillId="22" borderId="0" xfId="0" applyNumberFormat="1" applyFont="1" applyFill="1" applyAlignment="1">
      <alignment horizontal="center"/>
    </xf>
    <xf numFmtId="165" fontId="11" fillId="0" borderId="0" xfId="0" applyNumberFormat="1" applyFont="1" applyAlignment="1">
      <alignment vertical="center"/>
    </xf>
    <xf numFmtId="165" fontId="9" fillId="0" borderId="0" xfId="0" applyNumberFormat="1" applyFont="1" applyAlignment="1">
      <alignment horizontal="center"/>
    </xf>
    <xf numFmtId="165" fontId="9" fillId="0" borderId="0" xfId="0" applyNumberFormat="1" applyFont="1" applyAlignment="1">
      <alignment horizontal="center" vertical="center" wrapText="1"/>
    </xf>
    <xf numFmtId="165" fontId="12" fillId="0" borderId="1" xfId="0" applyNumberFormat="1" applyFont="1" applyBorder="1" applyAlignment="1">
      <alignment horizontal="center" wrapText="1"/>
    </xf>
    <xf numFmtId="165" fontId="12" fillId="0" borderId="1" xfId="0" applyNumberFormat="1" applyFont="1" applyBorder="1" applyAlignment="1">
      <alignment vertical="center"/>
    </xf>
    <xf numFmtId="2" fontId="41" fillId="0" borderId="0" xfId="0" applyNumberFormat="1" applyFont="1" applyAlignment="1">
      <alignment horizontal="left"/>
    </xf>
    <xf numFmtId="2" fontId="21" fillId="0" borderId="14" xfId="0" applyNumberFormat="1" applyFont="1" applyBorder="1" applyAlignment="1">
      <alignment horizontal="center"/>
    </xf>
    <xf numFmtId="2" fontId="21" fillId="0" borderId="41" xfId="0" applyNumberFormat="1" applyFont="1" applyBorder="1" applyAlignment="1">
      <alignment horizontal="center"/>
    </xf>
    <xf numFmtId="2" fontId="21" fillId="0" borderId="26" xfId="0" applyNumberFormat="1" applyFont="1" applyBorder="1" applyAlignment="1">
      <alignment horizontal="center"/>
    </xf>
    <xf numFmtId="0" fontId="58" fillId="16" borderId="0" xfId="0" applyFont="1" applyFill="1" applyAlignment="1">
      <alignment horizontal="justify" vertical="center" wrapText="1"/>
    </xf>
    <xf numFmtId="0" fontId="58" fillId="16" borderId="62" xfId="0" applyFont="1" applyFill="1" applyBorder="1" applyAlignment="1">
      <alignment horizontal="justify" vertical="center" wrapText="1"/>
    </xf>
    <xf numFmtId="0" fontId="0" fillId="0" borderId="35" xfId="0" applyBorder="1" applyAlignment="1">
      <alignment horizontal="left" vertical="top" wrapText="1"/>
    </xf>
    <xf numFmtId="0" fontId="0" fillId="0" borderId="14" xfId="0" applyBorder="1" applyAlignment="1">
      <alignment horizontal="left" vertical="top" wrapText="1"/>
    </xf>
    <xf numFmtId="0" fontId="0" fillId="0" borderId="26" xfId="0" applyBorder="1" applyAlignment="1">
      <alignment horizontal="left" vertical="top" wrapText="1"/>
    </xf>
    <xf numFmtId="0" fontId="21" fillId="0" borderId="29" xfId="14" applyFont="1" applyFill="1" applyBorder="1" applyAlignment="1">
      <alignment horizontal="center" vertical="top" wrapText="1"/>
    </xf>
    <xf numFmtId="0" fontId="21" fillId="0" borderId="3" xfId="14" applyFont="1" applyFill="1" applyBorder="1" applyAlignment="1">
      <alignment horizontal="center" vertical="top" wrapText="1"/>
    </xf>
    <xf numFmtId="0" fontId="21" fillId="0" borderId="7" xfId="14" applyFont="1" applyFill="1" applyBorder="1" applyAlignment="1">
      <alignment horizontal="center" vertical="top" wrapText="1"/>
    </xf>
    <xf numFmtId="0" fontId="21" fillId="0" borderId="1" xfId="14" applyFont="1" applyFill="1" applyBorder="1" applyAlignment="1">
      <alignment horizontal="center" vertical="top" wrapText="1"/>
    </xf>
    <xf numFmtId="0" fontId="22" fillId="0" borderId="7" xfId="14" applyFont="1" applyFill="1" applyBorder="1" applyAlignment="1">
      <alignment horizontal="center" vertical="top" wrapText="1"/>
    </xf>
    <xf numFmtId="0" fontId="22" fillId="0" borderId="1" xfId="14" applyFont="1" applyFill="1" applyBorder="1" applyAlignment="1">
      <alignment horizontal="center" vertical="top" wrapText="1"/>
    </xf>
    <xf numFmtId="0" fontId="22" fillId="0" borderId="28" xfId="14" applyFont="1" applyFill="1" applyBorder="1" applyAlignment="1">
      <alignment horizontal="center" vertical="top" wrapText="1"/>
    </xf>
    <xf numFmtId="0" fontId="22" fillId="0" borderId="4" xfId="14" applyFont="1" applyFill="1" applyBorder="1" applyAlignment="1">
      <alignment horizontal="center" vertical="top" wrapText="1"/>
    </xf>
    <xf numFmtId="0" fontId="18" fillId="0" borderId="0" xfId="8" applyFont="1" applyFill="1" applyAlignment="1">
      <alignment vertical="top" wrapText="1"/>
    </xf>
    <xf numFmtId="165" fontId="21" fillId="0" borderId="27" xfId="14" applyNumberFormat="1" applyFont="1" applyFill="1" applyBorder="1" applyAlignment="1">
      <alignment wrapText="1"/>
    </xf>
    <xf numFmtId="165" fontId="21" fillId="0" borderId="5" xfId="14" applyNumberFormat="1" applyFont="1" applyFill="1" applyBorder="1" applyAlignment="1">
      <alignment wrapText="1"/>
    </xf>
    <xf numFmtId="0" fontId="20" fillId="0" borderId="0" xfId="14" applyFont="1" applyFill="1" applyAlignment="1">
      <alignment horizontal="left" vertical="top" wrapText="1"/>
    </xf>
    <xf numFmtId="0" fontId="38" fillId="3" borderId="29" xfId="2" applyFont="1" applyBorder="1" applyAlignment="1">
      <alignment horizontal="justify" vertical="center" wrapText="1"/>
    </xf>
    <xf numFmtId="0" fontId="38" fillId="3" borderId="7" xfId="2" applyFont="1" applyBorder="1" applyAlignment="1">
      <alignment horizontal="justify" vertical="center" wrapText="1"/>
    </xf>
    <xf numFmtId="0" fontId="38" fillId="3" borderId="28" xfId="2" applyFont="1" applyBorder="1" applyAlignment="1">
      <alignment horizontal="justify" vertical="center" wrapText="1"/>
    </xf>
    <xf numFmtId="0" fontId="0" fillId="0" borderId="29" xfId="0" applyFont="1" applyFill="1" applyBorder="1" applyAlignment="1">
      <alignment horizontal="justify" vertical="center" wrapText="1"/>
    </xf>
    <xf numFmtId="0" fontId="0" fillId="0" borderId="7" xfId="0" applyFont="1" applyFill="1" applyBorder="1" applyAlignment="1">
      <alignment horizontal="justify" vertical="center" wrapText="1"/>
    </xf>
    <xf numFmtId="0" fontId="38" fillId="12" borderId="3" xfId="25" applyFont="1" applyBorder="1" applyAlignment="1">
      <alignment horizontal="justify" vertical="center" wrapText="1"/>
    </xf>
    <xf numFmtId="0" fontId="38" fillId="12" borderId="1" xfId="25" applyFont="1" applyBorder="1" applyAlignment="1">
      <alignment horizontal="justify" vertical="center" wrapText="1"/>
    </xf>
    <xf numFmtId="0" fontId="38" fillId="12" borderId="4" xfId="25" applyFont="1" applyBorder="1" applyAlignment="1">
      <alignment horizontal="justify" vertical="center" wrapText="1"/>
    </xf>
  </cellXfs>
  <cellStyles count="27">
    <cellStyle name="20% - Accent6" xfId="5" builtinId="50"/>
    <cellStyle name="40% - Accent6" xfId="6" builtinId="51"/>
    <cellStyle name="Accent6" xfId="4" builtinId="49"/>
    <cellStyle name="Bad" xfId="24" builtinId="27"/>
    <cellStyle name="Check Cell" xfId="16" builtinId="23"/>
    <cellStyle name="Comma" xfId="26" builtinId="3"/>
    <cellStyle name="Comma 2" xfId="12" xr:uid="{00000000-0005-0000-0000-000006000000}"/>
    <cellStyle name="Euro" xfId="17" xr:uid="{00000000-0005-0000-0000-000007000000}"/>
    <cellStyle name="Euro 2" xfId="18" xr:uid="{00000000-0005-0000-0000-000008000000}"/>
    <cellStyle name="Explanatory Text" xfId="3" builtinId="53"/>
    <cellStyle name="Good" xfId="1" builtinId="26"/>
    <cellStyle name="Good 2" xfId="9" xr:uid="{00000000-0005-0000-0000-00000B000000}"/>
    <cellStyle name="Input" xfId="15" builtinId="20"/>
    <cellStyle name="Neutral" xfId="2" builtinId="28"/>
    <cellStyle name="Normal" xfId="0" builtinId="0"/>
    <cellStyle name="Normal 2" xfId="10" xr:uid="{00000000-0005-0000-0000-00000F000000}"/>
    <cellStyle name="Normal 2 10" xfId="20" xr:uid="{00000000-0005-0000-0000-000010000000}"/>
    <cellStyle name="Normal 2 2" xfId="19" xr:uid="{00000000-0005-0000-0000-000011000000}"/>
    <cellStyle name="Normal 2 7" xfId="21" xr:uid="{00000000-0005-0000-0000-000012000000}"/>
    <cellStyle name="Normal 3" xfId="8" xr:uid="{00000000-0005-0000-0000-000013000000}"/>
    <cellStyle name="Normal 4" xfId="13" xr:uid="{00000000-0005-0000-0000-000014000000}"/>
    <cellStyle name="Normal 5" xfId="14" xr:uid="{00000000-0005-0000-0000-000015000000}"/>
    <cellStyle name="Normal 9" xfId="22" xr:uid="{00000000-0005-0000-0000-000016000000}"/>
    <cellStyle name="Normale_M-EXC" xfId="23" xr:uid="{00000000-0005-0000-0000-000017000000}"/>
    <cellStyle name="Note" xfId="25" builtinId="10"/>
    <cellStyle name="Output" xfId="7" builtinId="21"/>
    <cellStyle name="Percent 2" xfId="11" xr:uid="{00000000-0005-0000-0000-00001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800" b="1" i="0" u="none" strike="noStrike" kern="1200" baseline="0">
                <a:solidFill>
                  <a:schemeClr val="dk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ro-RO"/>
              <a:t>Valoare investitie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800" b="1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title>
    <c:autoTitleDeleted val="0"/>
    <c:plotArea>
      <c:layout/>
      <c:ofPieChart>
        <c:ofPieType val="pie"/>
        <c:varyColors val="1"/>
        <c:ser>
          <c:idx val="0"/>
          <c:order val="0"/>
          <c:tx>
            <c:strRef>
              <c:f>[1]Grafic!$E$53</c:f>
              <c:strCache>
                <c:ptCount val="1"/>
                <c:pt idx="0">
                  <c:v>Anul 1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1-8F0E-47C3-9C01-EFB481E11760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3-8F0E-47C3-9C01-EFB481E11760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5-8F0E-47C3-9C01-EFB481E11760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7-8F0E-47C3-9C01-EFB481E11760}"/>
              </c:ext>
            </c:extLst>
          </c:dPt>
          <c:dPt>
            <c:idx val="4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9-8F0E-47C3-9C01-EFB481E11760}"/>
              </c:ext>
            </c:extLst>
          </c:dPt>
          <c:dPt>
            <c:idx val="5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B-8F0E-47C3-9C01-EFB481E11760}"/>
              </c:ext>
            </c:extLst>
          </c:dPt>
          <c:dPt>
            <c:idx val="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D-8F0E-47C3-9C01-EFB481E11760}"/>
              </c:ext>
            </c:extLst>
          </c:dPt>
          <c:dPt>
            <c:idx val="7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0F-8F0E-47C3-9C01-EFB481E1176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o-RO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[1]Grafic!$G$54:$G$60</c:f>
              <c:strCache>
                <c:ptCount val="7"/>
                <c:pt idx="0">
                  <c:v>Amenajari pentru protectia mediului</c:v>
                </c:pt>
                <c:pt idx="1">
                  <c:v>Cheltuieli utilitati</c:v>
                </c:pt>
                <c:pt idx="2">
                  <c:v>Achizitii + SF</c:v>
                </c:pt>
                <c:pt idx="3">
                  <c:v>Achizitii + proiectare si verificare</c:v>
                </c:pt>
                <c:pt idx="4">
                  <c:v>Constructii, instalatii, echipamente</c:v>
                </c:pt>
                <c:pt idx="5">
                  <c:v>Organizare de santier si alte cheltuieli ale investitiei</c:v>
                </c:pt>
                <c:pt idx="6">
                  <c:v>Pregatire personal, probe</c:v>
                </c:pt>
              </c:strCache>
            </c:strRef>
          </c:cat>
          <c:val>
            <c:numRef>
              <c:f>[1]Grafic!$E$54:$E$60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2">
                  <c:v>2618</c:v>
                </c:pt>
                <c:pt idx="3">
                  <c:v>24990</c:v>
                </c:pt>
                <c:pt idx="4">
                  <c:v>110432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0-8F0E-47C3-9C01-EFB481E11760}"/>
            </c:ext>
          </c:extLst>
        </c:ser>
        <c:ser>
          <c:idx val="1"/>
          <c:order val="1"/>
          <c:tx>
            <c:strRef>
              <c:f>[1]Grafic!$F$53</c:f>
              <c:strCache>
                <c:ptCount val="1"/>
                <c:pt idx="0">
                  <c:v>Anul 2</c:v>
                </c:pt>
              </c:strCache>
            </c:strRef>
          </c:tx>
          <c:dPt>
            <c:idx val="0"/>
            <c:bubble3D val="0"/>
            <c:spPr>
              <a:solidFill>
                <a:schemeClr val="accent1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2-8F0E-47C3-9C01-EFB481E11760}"/>
              </c:ext>
            </c:extLst>
          </c:dPt>
          <c:dPt>
            <c:idx val="1"/>
            <c:bubble3D val="0"/>
            <c:spPr>
              <a:solidFill>
                <a:schemeClr val="accent3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4-8F0E-47C3-9C01-EFB481E11760}"/>
              </c:ext>
            </c:extLst>
          </c:dPt>
          <c:dPt>
            <c:idx val="2"/>
            <c:bubble3D val="0"/>
            <c:spPr>
              <a:solidFill>
                <a:schemeClr val="accent5"/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6-8F0E-47C3-9C01-EFB481E11760}"/>
              </c:ext>
            </c:extLst>
          </c:dPt>
          <c:dPt>
            <c:idx val="3"/>
            <c:bubble3D val="0"/>
            <c:spPr>
              <a:solidFill>
                <a:schemeClr val="accent1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8-8F0E-47C3-9C01-EFB481E11760}"/>
              </c:ext>
            </c:extLst>
          </c:dPt>
          <c:dPt>
            <c:idx val="4"/>
            <c:bubble3D val="0"/>
            <c:spPr>
              <a:solidFill>
                <a:schemeClr val="accent3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A-8F0E-47C3-9C01-EFB481E11760}"/>
              </c:ext>
            </c:extLst>
          </c:dPt>
          <c:dPt>
            <c:idx val="5"/>
            <c:bubble3D val="0"/>
            <c:spPr>
              <a:solidFill>
                <a:schemeClr val="accent5">
                  <a:lumMod val="6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C-8F0E-47C3-9C01-EFB481E11760}"/>
              </c:ext>
            </c:extLst>
          </c:dPt>
          <c:dPt>
            <c:idx val="6"/>
            <c:bubble3D val="0"/>
            <c:spPr>
              <a:solidFill>
                <a:schemeClr val="accent1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1E-8F0E-47C3-9C01-EFB481E11760}"/>
              </c:ext>
            </c:extLst>
          </c:dPt>
          <c:dPt>
            <c:idx val="7"/>
            <c:bubble3D val="0"/>
            <c:spPr>
              <a:solidFill>
                <a:schemeClr val="accent3">
                  <a:lumMod val="80000"/>
                  <a:lumOff val="20000"/>
                </a:schemeClr>
              </a:solidFill>
              <a:ln>
                <a:noFill/>
              </a:ln>
              <a:effectLst>
                <a:outerShdw blurRad="317500" algn="ctr" rotWithShape="0">
                  <a:prstClr val="black">
                    <a:alpha val="25000"/>
                  </a:prstClr>
                </a:outerShdw>
              </a:effectLst>
            </c:spPr>
            <c:extLst>
              <c:ext xmlns:c16="http://schemas.microsoft.com/office/drawing/2014/chart" uri="{C3380CC4-5D6E-409C-BE32-E72D297353CC}">
                <c16:uniqueId val="{00000020-8F0E-47C3-9C01-EFB481E11760}"/>
              </c:ext>
            </c:extLst>
          </c:dPt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1" i="0" u="none" strike="noStrike" kern="1200" baseline="0">
                    <a:solidFill>
                      <a:schemeClr val="lt1"/>
                    </a:solidFill>
                    <a:latin typeface="+mn-lt"/>
                    <a:ea typeface="+mn-ea"/>
                    <a:cs typeface="+mn-cs"/>
                  </a:defRPr>
                </a:pPr>
                <a:endParaRPr lang="ro-RO"/>
              </a:p>
            </c:txPr>
            <c:dLblPos val="inEnd"/>
            <c:showLegendKey val="0"/>
            <c:showVal val="0"/>
            <c:showCatName val="0"/>
            <c:showSerName val="0"/>
            <c:showPercent val="1"/>
            <c:showBubbleSize val="0"/>
            <c:showLeaderLines val="1"/>
            <c:leaderLines>
              <c:spPr>
                <a:ln w="9525" cap="flat" cmpd="sng" algn="ctr">
                  <a:solidFill>
                    <a:schemeClr val="dk1">
                      <a:lumMod val="35000"/>
                      <a:lumOff val="65000"/>
                    </a:schemeClr>
                  </a:solidFill>
                  <a:round/>
                </a:ln>
                <a:effectLst/>
              </c:spPr>
            </c:leaderLines>
            <c:extLst>
              <c:ext xmlns:c15="http://schemas.microsoft.com/office/drawing/2012/chart" uri="{CE6537A1-D6FC-4f65-9D91-7224C49458BB}"/>
            </c:extLst>
          </c:dLbls>
          <c:cat>
            <c:strRef>
              <c:f>[1]Grafic!$G$54:$G$60</c:f>
              <c:strCache>
                <c:ptCount val="7"/>
                <c:pt idx="0">
                  <c:v>Amenajari pentru protectia mediului</c:v>
                </c:pt>
                <c:pt idx="1">
                  <c:v>Cheltuieli utilitati</c:v>
                </c:pt>
                <c:pt idx="2">
                  <c:v>Achizitii + SF</c:v>
                </c:pt>
                <c:pt idx="3">
                  <c:v>Achizitii + proiectare si verificare</c:v>
                </c:pt>
                <c:pt idx="4">
                  <c:v>Constructii, instalatii, echipamente</c:v>
                </c:pt>
                <c:pt idx="5">
                  <c:v>Organizare de santier si alte cheltuieli ale investitiei</c:v>
                </c:pt>
                <c:pt idx="6">
                  <c:v>Pregatire personal, probe</c:v>
                </c:pt>
              </c:strCache>
            </c:strRef>
          </c:cat>
          <c:val>
            <c:numRef>
              <c:f>[1]Grafic!$F$54:$F$60</c:f>
              <c:numCache>
                <c:formatCode>General</c:formatCode>
                <c:ptCount val="7"/>
                <c:pt idx="0">
                  <c:v>0</c:v>
                </c:pt>
                <c:pt idx="1">
                  <c:v>0</c:v>
                </c:pt>
                <c:pt idx="3">
                  <c:v>714</c:v>
                </c:pt>
                <c:pt idx="4">
                  <c:v>273938</c:v>
                </c:pt>
                <c:pt idx="5">
                  <c:v>0</c:v>
                </c:pt>
                <c:pt idx="6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21-8F0E-47C3-9C01-EFB481E11760}"/>
            </c:ext>
          </c:extLst>
        </c:ser>
        <c:dLbls>
          <c:dLblPos val="inEnd"/>
          <c:showLegendKey val="0"/>
          <c:showVal val="0"/>
          <c:showCatName val="0"/>
          <c:showSerName val="0"/>
          <c:showPercent val="1"/>
          <c:showBubbleSize val="0"/>
          <c:showLeaderLines val="1"/>
        </c:dLbls>
        <c:gapWidth val="100"/>
        <c:secondPieSize val="75"/>
        <c:serLines>
          <c:spPr>
            <a:ln w="9525" cap="flat" cmpd="sng" algn="ctr">
              <a:solidFill>
                <a:schemeClr val="dk1">
                  <a:lumMod val="35000"/>
                  <a:lumOff val="65000"/>
                </a:schemeClr>
              </a:solidFill>
              <a:round/>
            </a:ln>
            <a:effectLst/>
          </c:spPr>
        </c:serLines>
      </c:ofPieChart>
      <c:spPr>
        <a:noFill/>
        <a:ln>
          <a:noFill/>
        </a:ln>
        <a:effectLst/>
      </c:spPr>
    </c:plotArea>
    <c:legend>
      <c:legendPos val="b"/>
      <c:overlay val="0"/>
      <c:spPr>
        <a:solidFill>
          <a:schemeClr val="lt1">
            <a:alpha val="78000"/>
          </a:schemeClr>
        </a:solidFill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dk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ro-RO"/>
        </a:p>
      </c:txPr>
    </c:legend>
    <c:plotVisOnly val="1"/>
    <c:dispBlanksAs val="gap"/>
    <c:showDLblsOverMax val="0"/>
  </c:chart>
  <c:spPr>
    <a:pattFill prst="dkDnDiag">
      <a:fgClr>
        <a:schemeClr val="lt1">
          <a:lumMod val="95000"/>
        </a:schemeClr>
      </a:fgClr>
      <a:bgClr>
        <a:schemeClr val="lt1"/>
      </a:bgClr>
    </a:pattFill>
    <a:ln w="9525" cap="flat" cmpd="sng" algn="ctr">
      <a:solidFill>
        <a:schemeClr val="dk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ro-RO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1">
  <a:schemeClr val="accent1"/>
  <a:schemeClr val="accent3"/>
  <a:schemeClr val="accent5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61">
  <cs:axisTitle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categoryAxis>
  <cs:chartArea>
    <cs:lnRef idx="0"/>
    <cs:fillRef idx="0"/>
    <cs:effectRef idx="0"/>
    <cs:fontRef idx="minor">
      <a:schemeClr val="dk1"/>
    </cs:fontRef>
    <cs:spPr>
      <a:pattFill prst="dkDnDiag">
        <a:fgClr>
          <a:schemeClr val="lt1">
            <a:lumMod val="95000"/>
          </a:schemeClr>
        </a:fgClr>
        <a:bgClr>
          <a:schemeClr val="lt1"/>
        </a:bgClr>
      </a:pattFill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lt1"/>
    </cs:fontRef>
    <cs:defRPr sz="900" b="1" i="0" u="none" strike="noStrike" kern="1200" baseline="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5000"/>
        </a:schemeClr>
      </a:solidFill>
      <a:ln w="9525"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317500" algn="ctr" rotWithShape="0">
          <a:prstClr val="black">
            <a:alpha val="25000"/>
          </a:prstClr>
        </a:outerShdw>
      </a:effectLst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effectLst>
        <a:outerShdw blurRad="88900" sx="102000" sy="102000" algn="ctr" rotWithShape="0">
          <a:prstClr val="black">
            <a:alpha val="20000"/>
          </a:prstClr>
        </a:outerShdw>
      </a:effectLst>
      <a:scene3d>
        <a:camera prst="orthographicFront"/>
        <a:lightRig rig="threePt" dir="t"/>
      </a:scene3d>
      <a:sp3d prstMaterial="matte"/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28575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  <a:ln w="9525">
        <a:solidFill>
          <a:schemeClr val="lt1"/>
        </a:solidFill>
      </a:ln>
    </cs:spPr>
  </cs:dataPointMarker>
  <cs:dataPointMarkerLayout symbol="circle" size="6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dk1">
        <a:lumMod val="65000"/>
        <a:lumOff val="35000"/>
      </a:schemeClr>
    </cs:fontRef>
    <cs:spPr>
      <a:noFill/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>
          <a:alpha val="78000"/>
        </a:schemeClr>
      </a:solidFill>
    </cs:spPr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dk1"/>
    </cs:fontRef>
    <cs:spPr>
      <a:ln w="9525" cap="flat" cmpd="sng" algn="ctr">
        <a:solidFill>
          <a:schemeClr val="dk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dk1">
        <a:lumMod val="65000"/>
        <a:lumOff val="35000"/>
      </a:schemeClr>
    </cs:fontRef>
    <cs:defRPr sz="1800" b="1" kern="120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prstDash val="sysDash"/>
      </a:ln>
    </cs:spPr>
  </cs:trendline>
  <cs:trendlineLabel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 cap="flat" cmpd="sng" algn="ctr">
        <a:solidFill>
          <a:schemeClr val="dk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dk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15</xdr:col>
      <xdr:colOff>123824</xdr:colOff>
      <xdr:row>44</xdr:row>
      <xdr:rowOff>28575</xdr:rowOff>
    </xdr:from>
    <xdr:to>
      <xdr:col>26</xdr:col>
      <xdr:colOff>104775</xdr:colOff>
      <xdr:row>57</xdr:row>
      <xdr:rowOff>352425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E105196D-FC5B-41A3-AD8E-DB48A9FDEFAE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0.Stick_Complet\Accent%20Consulting%20SRL\Teren%20de%20Sport\DEVIZ%20GENERAL%20-%20teren%20sport%20multifunctional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DEVIZ GENERAL"/>
      <sheetName val="Grafic"/>
      <sheetName val="ECHIPAMENTE SI DOTARI"/>
      <sheetName val="ESTIMARI SPECIALITATI"/>
      <sheetName val="ARHITECTURA"/>
      <sheetName val="STRUCTURA"/>
      <sheetName val="INSTALATII"/>
    </sheetNames>
    <sheetDataSet>
      <sheetData sheetId="0">
        <row r="25">
          <cell r="F25">
            <v>1.4279999999999999</v>
          </cell>
        </row>
      </sheetData>
      <sheetData sheetId="1">
        <row r="53">
          <cell r="E53" t="str">
            <v>Anul 1</v>
          </cell>
          <cell r="F53" t="str">
            <v>Anul 2</v>
          </cell>
        </row>
        <row r="54">
          <cell r="E54">
            <v>0</v>
          </cell>
          <cell r="F54">
            <v>0</v>
          </cell>
          <cell r="G54" t="str">
            <v>Amenajari pentru protectia mediului</v>
          </cell>
        </row>
        <row r="55">
          <cell r="E55">
            <v>0</v>
          </cell>
          <cell r="F55">
            <v>0</v>
          </cell>
          <cell r="G55" t="str">
            <v>Cheltuieli utilitati</v>
          </cell>
        </row>
        <row r="56">
          <cell r="E56">
            <v>2618</v>
          </cell>
          <cell r="G56" t="str">
            <v>Achizitii + SF</v>
          </cell>
        </row>
        <row r="57">
          <cell r="E57">
            <v>24990</v>
          </cell>
          <cell r="F57">
            <v>714</v>
          </cell>
          <cell r="G57" t="str">
            <v>Achizitii + proiectare si verificare</v>
          </cell>
        </row>
        <row r="58">
          <cell r="E58">
            <v>110432</v>
          </cell>
          <cell r="F58">
            <v>273938</v>
          </cell>
          <cell r="G58" t="str">
            <v>Constructii, instalatii, echipamente</v>
          </cell>
        </row>
        <row r="59">
          <cell r="E59">
            <v>0</v>
          </cell>
          <cell r="F59">
            <v>0</v>
          </cell>
          <cell r="G59" t="str">
            <v>Organizare de santier si alte cheltuieli ale investitiei</v>
          </cell>
        </row>
        <row r="60">
          <cell r="E60">
            <v>0</v>
          </cell>
          <cell r="F60">
            <v>0</v>
          </cell>
          <cell r="G60" t="str">
            <v>Pregatire personal, probe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V161"/>
  <sheetViews>
    <sheetView tabSelected="1" view="pageBreakPreview" zoomScale="130" zoomScaleNormal="150" zoomScaleSheetLayoutView="130" workbookViewId="0">
      <selection activeCell="B69" sqref="B69"/>
    </sheetView>
  </sheetViews>
  <sheetFormatPr defaultRowHeight="12.75" x14ac:dyDescent="0.2"/>
  <cols>
    <col min="1" max="1" width="4" style="10" customWidth="1"/>
    <col min="2" max="2" width="42.28515625" style="2" customWidth="1"/>
    <col min="3" max="3" width="15.140625" style="1" customWidth="1"/>
    <col min="4" max="4" width="10.42578125" style="1" hidden="1" customWidth="1"/>
    <col min="5" max="5" width="12.85546875" style="2" customWidth="1"/>
    <col min="6" max="6" width="21.42578125" style="2" customWidth="1"/>
    <col min="7" max="7" width="10.42578125" style="2" hidden="1" customWidth="1"/>
    <col min="8" max="8" width="14" style="2" hidden="1" customWidth="1"/>
    <col min="9" max="9" width="10.140625" style="3" hidden="1" customWidth="1"/>
    <col min="10" max="10" width="16.42578125" style="2" hidden="1" customWidth="1"/>
    <col min="11" max="11" width="17" style="2" hidden="1" customWidth="1"/>
    <col min="12" max="12" width="10.42578125" style="2" hidden="1" customWidth="1"/>
    <col min="13" max="13" width="0" style="2" hidden="1" customWidth="1"/>
    <col min="14" max="14" width="9.140625" style="2" customWidth="1"/>
    <col min="15" max="15" width="15.5703125" style="2" customWidth="1"/>
    <col min="16" max="17" width="11.42578125" style="2" bestFit="1" customWidth="1"/>
    <col min="18" max="18" width="17.5703125" style="2" customWidth="1"/>
    <col min="19" max="20" width="9.140625" style="2"/>
    <col min="21" max="21" width="13.5703125" style="2" customWidth="1"/>
    <col min="22" max="22" width="11.42578125" style="2" bestFit="1" customWidth="1"/>
    <col min="23" max="16384" width="9.140625" style="2"/>
  </cols>
  <sheetData>
    <row r="1" spans="1:16" x14ac:dyDescent="0.2">
      <c r="A1" s="368" t="s">
        <v>15</v>
      </c>
      <c r="B1" s="368"/>
      <c r="C1" s="2"/>
      <c r="D1" s="2"/>
    </row>
    <row r="2" spans="1:16" ht="12.75" customHeight="1" x14ac:dyDescent="0.2">
      <c r="A2" s="369" t="s">
        <v>380</v>
      </c>
      <c r="B2" s="369"/>
      <c r="C2" s="2"/>
      <c r="D2" s="2"/>
    </row>
    <row r="3" spans="1:16" ht="12.75" customHeight="1" x14ac:dyDescent="0.2">
      <c r="A3" s="371"/>
      <c r="B3" s="371"/>
      <c r="C3" s="2"/>
      <c r="D3" s="2"/>
    </row>
    <row r="4" spans="1:16" ht="15.75" x14ac:dyDescent="0.25">
      <c r="A4" s="370" t="s">
        <v>14</v>
      </c>
      <c r="B4" s="370"/>
      <c r="C4" s="370"/>
      <c r="D4" s="370"/>
      <c r="E4" s="370"/>
      <c r="F4" s="370"/>
      <c r="G4" s="370"/>
    </row>
    <row r="5" spans="1:16" x14ac:dyDescent="0.2">
      <c r="A5" s="363" t="s">
        <v>85</v>
      </c>
      <c r="B5" s="363"/>
      <c r="C5" s="363"/>
      <c r="D5" s="363"/>
      <c r="E5" s="363"/>
      <c r="F5" s="363"/>
      <c r="G5" s="363"/>
    </row>
    <row r="6" spans="1:16" x14ac:dyDescent="0.2">
      <c r="A6" s="372" t="s">
        <v>54</v>
      </c>
      <c r="B6" s="372"/>
      <c r="C6" s="372"/>
      <c r="D6" s="372"/>
      <c r="E6" s="372"/>
      <c r="F6" s="372"/>
      <c r="G6" s="372"/>
    </row>
    <row r="7" spans="1:16" ht="29.25" customHeight="1" x14ac:dyDescent="0.25">
      <c r="A7" s="364" t="s">
        <v>387</v>
      </c>
      <c r="B7" s="364"/>
      <c r="C7" s="364"/>
      <c r="D7" s="364"/>
      <c r="E7" s="364"/>
      <c r="F7" s="364"/>
      <c r="G7" s="364"/>
    </row>
    <row r="8" spans="1:16" ht="27" customHeight="1" x14ac:dyDescent="0.2">
      <c r="A8" s="367" t="s">
        <v>386</v>
      </c>
      <c r="B8" s="367"/>
      <c r="C8" s="367"/>
      <c r="D8" s="367"/>
      <c r="E8" s="367"/>
      <c r="F8" s="367"/>
      <c r="G8" s="343"/>
      <c r="I8" s="339"/>
    </row>
    <row r="9" spans="1:16" s="346" customFormat="1" ht="27" customHeight="1" x14ac:dyDescent="0.2">
      <c r="A9" s="344"/>
      <c r="B9" s="344"/>
      <c r="C9" s="344"/>
      <c r="D9" s="344"/>
      <c r="E9" s="344"/>
      <c r="F9" s="344"/>
      <c r="G9" s="345"/>
      <c r="I9" s="347"/>
    </row>
    <row r="10" spans="1:16" x14ac:dyDescent="0.2">
      <c r="A10" s="365" t="s">
        <v>87</v>
      </c>
      <c r="B10" s="365"/>
      <c r="C10" s="4" t="s">
        <v>52</v>
      </c>
      <c r="D10" s="26">
        <v>4.5006000000000004</v>
      </c>
      <c r="E10" s="4" t="s">
        <v>16</v>
      </c>
      <c r="F10" s="340" t="s">
        <v>148</v>
      </c>
      <c r="G10" s="4"/>
    </row>
    <row r="11" spans="1:16" x14ac:dyDescent="0.2">
      <c r="A11" s="362" t="s">
        <v>17</v>
      </c>
      <c r="B11" s="362"/>
      <c r="C11" s="362"/>
      <c r="D11" s="362"/>
      <c r="E11" s="362"/>
      <c r="F11" s="362"/>
      <c r="G11" s="362"/>
      <c r="P11" s="59"/>
    </row>
    <row r="12" spans="1:16" x14ac:dyDescent="0.2">
      <c r="A12" s="366" t="s">
        <v>0</v>
      </c>
      <c r="B12" s="366" t="s">
        <v>1</v>
      </c>
      <c r="C12" s="366" t="s">
        <v>2</v>
      </c>
      <c r="D12" s="366"/>
      <c r="E12" s="313" t="s">
        <v>3</v>
      </c>
      <c r="F12" s="366" t="s">
        <v>4</v>
      </c>
      <c r="G12" s="366"/>
    </row>
    <row r="13" spans="1:16" x14ac:dyDescent="0.2">
      <c r="A13" s="366"/>
      <c r="B13" s="366"/>
      <c r="C13" s="314" t="s">
        <v>147</v>
      </c>
      <c r="D13" s="314" t="s">
        <v>50</v>
      </c>
      <c r="E13" s="313" t="s">
        <v>16</v>
      </c>
      <c r="F13" s="313" t="s">
        <v>147</v>
      </c>
      <c r="G13" s="314" t="s">
        <v>50</v>
      </c>
      <c r="M13" s="2">
        <v>3</v>
      </c>
    </row>
    <row r="14" spans="1:16" x14ac:dyDescent="0.2">
      <c r="A14" s="315" t="s">
        <v>5</v>
      </c>
      <c r="B14" s="315" t="s">
        <v>6</v>
      </c>
      <c r="C14" s="315" t="s">
        <v>7</v>
      </c>
      <c r="D14" s="315" t="s">
        <v>8</v>
      </c>
      <c r="E14" s="315" t="s">
        <v>9</v>
      </c>
      <c r="F14" s="315" t="s">
        <v>48</v>
      </c>
      <c r="G14" s="315" t="s">
        <v>49</v>
      </c>
    </row>
    <row r="15" spans="1:16" ht="13.5" thickBot="1" x14ac:dyDescent="0.25">
      <c r="A15" s="357" t="s">
        <v>105</v>
      </c>
      <c r="B15" s="357"/>
      <c r="C15" s="357"/>
      <c r="D15" s="357"/>
      <c r="E15" s="357"/>
      <c r="F15" s="357"/>
      <c r="G15" s="357"/>
    </row>
    <row r="16" spans="1:16" ht="13.5" thickBot="1" x14ac:dyDescent="0.25">
      <c r="A16" s="316" t="s">
        <v>10</v>
      </c>
      <c r="B16" s="279" t="s">
        <v>106</v>
      </c>
      <c r="C16" s="280">
        <v>0</v>
      </c>
      <c r="D16" s="280">
        <f>C16/D10</f>
        <v>0</v>
      </c>
      <c r="E16" s="279">
        <f>C16*19%</f>
        <v>0</v>
      </c>
      <c r="F16" s="279">
        <f>C16+E16</f>
        <v>0</v>
      </c>
      <c r="G16" s="279">
        <f>D16*1.19</f>
        <v>0</v>
      </c>
      <c r="K16" s="5" t="s">
        <v>58</v>
      </c>
    </row>
    <row r="17" spans="1:18" x14ac:dyDescent="0.2">
      <c r="A17" s="316" t="s">
        <v>107</v>
      </c>
      <c r="B17" s="281" t="s">
        <v>12</v>
      </c>
      <c r="C17" s="280">
        <v>0</v>
      </c>
      <c r="D17" s="280">
        <f>C17/D10</f>
        <v>0</v>
      </c>
      <c r="E17" s="279">
        <f>C17*19%</f>
        <v>0</v>
      </c>
      <c r="F17" s="279">
        <f>C17+E17</f>
        <v>0</v>
      </c>
      <c r="G17" s="279">
        <f>D17*1.19</f>
        <v>0</v>
      </c>
      <c r="K17" s="48"/>
    </row>
    <row r="18" spans="1:18" x14ac:dyDescent="0.2">
      <c r="A18" s="316"/>
      <c r="B18" s="281" t="s">
        <v>382</v>
      </c>
      <c r="C18" s="280">
        <v>31372.68</v>
      </c>
      <c r="D18" s="280"/>
      <c r="E18" s="279">
        <f t="shared" ref="E18:E19" si="0">C18*19%</f>
        <v>5960.8091999999997</v>
      </c>
      <c r="F18" s="279">
        <f t="shared" ref="F18:F19" si="1">C18+E18</f>
        <v>37333.489199999996</v>
      </c>
      <c r="G18" s="279"/>
      <c r="I18" s="308"/>
      <c r="K18" s="309"/>
    </row>
    <row r="19" spans="1:18" x14ac:dyDescent="0.2">
      <c r="A19" s="316"/>
      <c r="B19" s="281" t="s">
        <v>383</v>
      </c>
      <c r="C19" s="280">
        <v>417114.75</v>
      </c>
      <c r="D19" s="280"/>
      <c r="E19" s="279">
        <f t="shared" si="0"/>
        <v>79251.802500000005</v>
      </c>
      <c r="F19" s="279">
        <f t="shared" si="1"/>
        <v>496366.55249999999</v>
      </c>
      <c r="G19" s="279"/>
      <c r="I19" s="308"/>
      <c r="K19" s="309"/>
    </row>
    <row r="20" spans="1:18" ht="25.5" x14ac:dyDescent="0.2">
      <c r="A20" s="316" t="s">
        <v>11</v>
      </c>
      <c r="B20" s="281" t="s">
        <v>108</v>
      </c>
      <c r="C20" s="280">
        <v>0</v>
      </c>
      <c r="D20" s="280"/>
      <c r="E20" s="279">
        <f>C20*19%</f>
        <v>0</v>
      </c>
      <c r="F20" s="279">
        <f>C20+E20</f>
        <v>0</v>
      </c>
      <c r="G20" s="279"/>
      <c r="I20" s="50"/>
      <c r="K20" s="49"/>
    </row>
    <row r="21" spans="1:18" x14ac:dyDescent="0.2">
      <c r="A21" s="316"/>
      <c r="B21" s="281" t="s">
        <v>384</v>
      </c>
      <c r="C21" s="280">
        <f>12179.49+9213.53</f>
        <v>21393.02</v>
      </c>
      <c r="D21" s="280"/>
      <c r="E21" s="279">
        <f t="shared" ref="E21:E22" si="2">C21*19%</f>
        <v>4064.6738</v>
      </c>
      <c r="F21" s="279">
        <f t="shared" ref="F21:F22" si="3">C21+E21</f>
        <v>25457.693800000001</v>
      </c>
      <c r="G21" s="279"/>
      <c r="I21" s="308"/>
      <c r="K21" s="309"/>
    </row>
    <row r="22" spans="1:18" x14ac:dyDescent="0.2">
      <c r="A22" s="316" t="s">
        <v>109</v>
      </c>
      <c r="B22" s="281" t="s">
        <v>110</v>
      </c>
      <c r="C22" s="280">
        <v>0</v>
      </c>
      <c r="D22" s="280" t="e">
        <f>C22/D11</f>
        <v>#DIV/0!</v>
      </c>
      <c r="E22" s="279">
        <f t="shared" si="2"/>
        <v>0</v>
      </c>
      <c r="F22" s="279">
        <f t="shared" si="3"/>
        <v>0</v>
      </c>
      <c r="G22" s="279" t="e">
        <f>D22*1.19</f>
        <v>#DIV/0!</v>
      </c>
      <c r="I22" s="50"/>
      <c r="K22" s="49"/>
    </row>
    <row r="23" spans="1:18" x14ac:dyDescent="0.2">
      <c r="A23" s="356" t="s">
        <v>13</v>
      </c>
      <c r="B23" s="356"/>
      <c r="C23" s="312">
        <f>SUM(C16:C22)</f>
        <v>469880.45</v>
      </c>
      <c r="D23" s="312">
        <f>SUM(D16:D17)</f>
        <v>0</v>
      </c>
      <c r="E23" s="312">
        <f>SUM(E16:E22)</f>
        <v>89277.285500000013</v>
      </c>
      <c r="F23" s="312">
        <f>SUM(F16:F22)</f>
        <v>559157.73549999995</v>
      </c>
      <c r="G23" s="282">
        <f>SUM(G16:G17)</f>
        <v>0</v>
      </c>
      <c r="I23" s="50"/>
    </row>
    <row r="24" spans="1:18" ht="15" customHeight="1" x14ac:dyDescent="0.2">
      <c r="A24" s="358" t="s">
        <v>99</v>
      </c>
      <c r="B24" s="358"/>
      <c r="C24" s="358"/>
      <c r="D24" s="358"/>
      <c r="E24" s="358"/>
      <c r="F24" s="358"/>
      <c r="G24" s="358"/>
      <c r="K24" s="6"/>
    </row>
    <row r="25" spans="1:18" ht="15" customHeight="1" x14ac:dyDescent="0.2">
      <c r="A25" s="297"/>
      <c r="B25" s="296" t="s">
        <v>381</v>
      </c>
      <c r="C25" s="296">
        <v>134032.78</v>
      </c>
      <c r="D25" s="296"/>
      <c r="E25" s="296">
        <f>C25*19%</f>
        <v>25466.228200000001</v>
      </c>
      <c r="F25" s="296">
        <f>C25+E25</f>
        <v>159499.00820000001</v>
      </c>
      <c r="G25" s="297"/>
      <c r="I25" s="308"/>
      <c r="K25" s="6"/>
    </row>
    <row r="26" spans="1:18" ht="15" customHeight="1" x14ac:dyDescent="0.2">
      <c r="A26" s="297"/>
      <c r="B26" s="296" t="s">
        <v>385</v>
      </c>
      <c r="C26" s="296">
        <v>175000</v>
      </c>
      <c r="D26" s="296"/>
      <c r="E26" s="296">
        <f>C26*19%</f>
        <v>33250</v>
      </c>
      <c r="F26" s="296">
        <f>C26+E26</f>
        <v>208250</v>
      </c>
      <c r="G26" s="297"/>
      <c r="I26" s="308"/>
      <c r="K26" s="6"/>
    </row>
    <row r="27" spans="1:18" ht="15" x14ac:dyDescent="0.25">
      <c r="A27" s="356" t="s">
        <v>18</v>
      </c>
      <c r="B27" s="356"/>
      <c r="C27" s="312">
        <f>SUM(C25:C26)</f>
        <v>309032.78000000003</v>
      </c>
      <c r="D27" s="312">
        <f t="shared" ref="D27:F27" si="4">SUM(D25:D26)</f>
        <v>0</v>
      </c>
      <c r="E27" s="312">
        <f t="shared" si="4"/>
        <v>58716.228199999998</v>
      </c>
      <c r="F27" s="312">
        <f t="shared" si="4"/>
        <v>367749.00820000004</v>
      </c>
      <c r="G27" s="282" t="e">
        <f>SUM(#REF!)</f>
        <v>#REF!</v>
      </c>
      <c r="H27" s="28" t="s">
        <v>86</v>
      </c>
    </row>
    <row r="28" spans="1:18" ht="15" customHeight="1" x14ac:dyDescent="0.2">
      <c r="A28" s="358" t="s">
        <v>19</v>
      </c>
      <c r="B28" s="358"/>
      <c r="C28" s="358"/>
      <c r="D28" s="358"/>
      <c r="E28" s="358"/>
      <c r="F28" s="358"/>
      <c r="G28" s="358"/>
      <c r="O28" s="2" t="s">
        <v>100</v>
      </c>
      <c r="P28" s="2">
        <f>10%*C60</f>
        <v>2911892.145</v>
      </c>
      <c r="R28" s="2">
        <f>C52-P28</f>
        <v>-1953042.145</v>
      </c>
    </row>
    <row r="29" spans="1:18" x14ac:dyDescent="0.2">
      <c r="A29" s="317" t="s">
        <v>20</v>
      </c>
      <c r="B29" s="283" t="s">
        <v>111</v>
      </c>
      <c r="C29" s="284">
        <f>C30+C31+C32</f>
        <v>2500</v>
      </c>
      <c r="D29" s="284">
        <f>SUM(D33:D43)</f>
        <v>32962.271697107048</v>
      </c>
      <c r="E29" s="284">
        <f>C29*19%</f>
        <v>475</v>
      </c>
      <c r="F29" s="284">
        <f>C29+E29</f>
        <v>2975</v>
      </c>
      <c r="G29" s="284">
        <f>SUM(G33:G43)</f>
        <v>39225.103319557384</v>
      </c>
    </row>
    <row r="30" spans="1:18" x14ac:dyDescent="0.2">
      <c r="A30" s="318"/>
      <c r="B30" s="285" t="s">
        <v>112</v>
      </c>
      <c r="C30" s="285">
        <v>2500</v>
      </c>
      <c r="D30" s="284"/>
      <c r="E30" s="279">
        <f>C30*19%</f>
        <v>475</v>
      </c>
      <c r="F30" s="279">
        <f>C30+E30</f>
        <v>2975</v>
      </c>
      <c r="G30" s="284"/>
      <c r="I30" s="50"/>
    </row>
    <row r="31" spans="1:18" x14ac:dyDescent="0.2">
      <c r="A31" s="318"/>
      <c r="B31" s="285" t="s">
        <v>113</v>
      </c>
      <c r="C31" s="285">
        <v>0</v>
      </c>
      <c r="D31" s="284"/>
      <c r="E31" s="279">
        <f>C31*19%</f>
        <v>0</v>
      </c>
      <c r="F31" s="279">
        <f>C31+E31</f>
        <v>0</v>
      </c>
      <c r="G31" s="284"/>
      <c r="I31" s="50"/>
    </row>
    <row r="32" spans="1:18" ht="13.5" thickBot="1" x14ac:dyDescent="0.25">
      <c r="A32" s="318"/>
      <c r="B32" s="285" t="s">
        <v>114</v>
      </c>
      <c r="C32" s="285">
        <v>0</v>
      </c>
      <c r="D32" s="284"/>
      <c r="E32" s="279">
        <f>C32*19%</f>
        <v>0</v>
      </c>
      <c r="F32" s="279">
        <f>C32+E32</f>
        <v>0</v>
      </c>
      <c r="G32" s="284"/>
      <c r="I32" s="50"/>
    </row>
    <row r="33" spans="1:22" s="11" customFormat="1" ht="25.5" x14ac:dyDescent="0.2">
      <c r="A33" s="319" t="s">
        <v>21</v>
      </c>
      <c r="B33" s="286" t="s">
        <v>115</v>
      </c>
      <c r="C33" s="287">
        <v>148350</v>
      </c>
      <c r="D33" s="287">
        <f t="shared" ref="D33:D44" si="5">C33/$D$10</f>
        <v>32962.271697107048</v>
      </c>
      <c r="E33" s="288">
        <f t="shared" ref="E33:E44" si="6">C33*19%</f>
        <v>28186.5</v>
      </c>
      <c r="F33" s="288">
        <f t="shared" ref="F33:F44" si="7">C33+E33</f>
        <v>176536.5</v>
      </c>
      <c r="G33" s="288">
        <f t="shared" ref="G33:G44" si="8">D33*1.19</f>
        <v>39225.103319557384</v>
      </c>
      <c r="I33" s="60"/>
      <c r="K33" s="349" t="s">
        <v>73</v>
      </c>
      <c r="O33" s="14" t="s">
        <v>53</v>
      </c>
      <c r="P33" s="14">
        <f>0.5%*C79</f>
        <v>147668.18614999999</v>
      </c>
    </row>
    <row r="34" spans="1:22" s="11" customFormat="1" x14ac:dyDescent="0.2">
      <c r="A34" s="319" t="s">
        <v>23</v>
      </c>
      <c r="B34" s="286" t="s">
        <v>116</v>
      </c>
      <c r="C34" s="287">
        <v>0</v>
      </c>
      <c r="D34" s="287"/>
      <c r="E34" s="288">
        <f t="shared" ref="E34:E42" si="9">C34*19%</f>
        <v>0</v>
      </c>
      <c r="F34" s="288">
        <f t="shared" ref="F34:F42" si="10">C34+E34</f>
        <v>0</v>
      </c>
      <c r="G34" s="288"/>
      <c r="I34" s="60"/>
      <c r="K34" s="350"/>
    </row>
    <row r="35" spans="1:22" s="11" customFormat="1" ht="25.5" x14ac:dyDescent="0.2">
      <c r="A35" s="319" t="s">
        <v>24</v>
      </c>
      <c r="B35" s="286" t="s">
        <v>117</v>
      </c>
      <c r="C35" s="287">
        <v>0</v>
      </c>
      <c r="D35" s="287"/>
      <c r="E35" s="288">
        <f t="shared" si="9"/>
        <v>0</v>
      </c>
      <c r="F35" s="288">
        <f t="shared" si="10"/>
        <v>0</v>
      </c>
      <c r="G35" s="288"/>
      <c r="I35" s="60"/>
      <c r="K35" s="350"/>
    </row>
    <row r="36" spans="1:22" s="11" customFormat="1" x14ac:dyDescent="0.2">
      <c r="A36" s="319" t="s">
        <v>26</v>
      </c>
      <c r="B36" s="286" t="s">
        <v>25</v>
      </c>
      <c r="C36" s="287">
        <f>SUM(C37:C42)</f>
        <v>443000</v>
      </c>
      <c r="D36" s="287"/>
      <c r="E36" s="288">
        <f t="shared" si="9"/>
        <v>84170</v>
      </c>
      <c r="F36" s="288">
        <f t="shared" si="10"/>
        <v>527170</v>
      </c>
      <c r="G36" s="288"/>
      <c r="I36" s="60"/>
      <c r="K36" s="350"/>
      <c r="O36" s="14" t="s">
        <v>153</v>
      </c>
      <c r="P36" s="14">
        <f>3%*C60</f>
        <v>873567.64349999989</v>
      </c>
    </row>
    <row r="37" spans="1:22" x14ac:dyDescent="0.2">
      <c r="A37" s="316"/>
      <c r="B37" s="281" t="s">
        <v>118</v>
      </c>
      <c r="C37" s="289">
        <v>0</v>
      </c>
      <c r="D37" s="289"/>
      <c r="E37" s="279">
        <f t="shared" si="9"/>
        <v>0</v>
      </c>
      <c r="F37" s="279">
        <f t="shared" si="10"/>
        <v>0</v>
      </c>
      <c r="G37" s="279"/>
      <c r="I37" s="50"/>
      <c r="K37" s="350"/>
    </row>
    <row r="38" spans="1:22" x14ac:dyDescent="0.2">
      <c r="A38" s="316"/>
      <c r="B38" s="281" t="s">
        <v>160</v>
      </c>
      <c r="C38" s="289">
        <v>0</v>
      </c>
      <c r="D38" s="289"/>
      <c r="E38" s="279">
        <f t="shared" si="9"/>
        <v>0</v>
      </c>
      <c r="F38" s="279">
        <f t="shared" si="10"/>
        <v>0</v>
      </c>
      <c r="G38" s="279"/>
      <c r="I38" s="50"/>
      <c r="K38" s="350"/>
    </row>
    <row r="39" spans="1:22" ht="25.5" x14ac:dyDescent="0.2">
      <c r="A39" s="316"/>
      <c r="B39" s="281" t="s">
        <v>119</v>
      </c>
      <c r="C39" s="289">
        <v>126000</v>
      </c>
      <c r="D39" s="289"/>
      <c r="E39" s="279">
        <f t="shared" si="9"/>
        <v>23940</v>
      </c>
      <c r="F39" s="279">
        <f t="shared" si="10"/>
        <v>149940</v>
      </c>
      <c r="G39" s="279"/>
      <c r="I39" s="50"/>
      <c r="K39" s="350"/>
    </row>
    <row r="40" spans="1:22" ht="25.5" x14ac:dyDescent="0.2">
      <c r="A40" s="316"/>
      <c r="B40" s="281" t="s">
        <v>120</v>
      </c>
      <c r="C40" s="289">
        <v>9000</v>
      </c>
      <c r="D40" s="289"/>
      <c r="E40" s="279">
        <f t="shared" si="9"/>
        <v>1710</v>
      </c>
      <c r="F40" s="279">
        <f t="shared" si="10"/>
        <v>10710</v>
      </c>
      <c r="G40" s="279"/>
      <c r="I40" s="50"/>
      <c r="K40" s="350"/>
      <c r="O40" s="7" t="s">
        <v>154</v>
      </c>
      <c r="P40" s="7">
        <f>10%*C42</f>
        <v>28000</v>
      </c>
    </row>
    <row r="41" spans="1:22" ht="25.5" x14ac:dyDescent="0.2">
      <c r="A41" s="316"/>
      <c r="B41" s="281" t="s">
        <v>150</v>
      </c>
      <c r="C41" s="289">
        <v>28000</v>
      </c>
      <c r="D41" s="289"/>
      <c r="E41" s="279">
        <f t="shared" si="9"/>
        <v>5320</v>
      </c>
      <c r="F41" s="279">
        <f t="shared" si="10"/>
        <v>33320</v>
      </c>
      <c r="G41" s="279"/>
      <c r="I41" s="50"/>
      <c r="K41" s="350"/>
      <c r="O41" s="7" t="s">
        <v>53</v>
      </c>
      <c r="P41" s="7">
        <f>0.5%*C79</f>
        <v>147668.18614999999</v>
      </c>
    </row>
    <row r="42" spans="1:22" x14ac:dyDescent="0.2">
      <c r="A42" s="316"/>
      <c r="B42" s="281" t="s">
        <v>121</v>
      </c>
      <c r="C42" s="289">
        <v>280000</v>
      </c>
      <c r="D42" s="289"/>
      <c r="E42" s="279">
        <f t="shared" si="9"/>
        <v>53200</v>
      </c>
      <c r="F42" s="279">
        <f t="shared" si="10"/>
        <v>333200</v>
      </c>
      <c r="G42" s="279"/>
      <c r="I42" s="50"/>
      <c r="K42" s="350"/>
    </row>
    <row r="43" spans="1:22" s="11" customFormat="1" ht="13.5" thickBot="1" x14ac:dyDescent="0.25">
      <c r="A43" s="319" t="s">
        <v>27</v>
      </c>
      <c r="B43" s="288" t="s">
        <v>122</v>
      </c>
      <c r="C43" s="287">
        <v>0</v>
      </c>
      <c r="D43" s="287">
        <f t="shared" si="5"/>
        <v>0</v>
      </c>
      <c r="E43" s="288">
        <f t="shared" si="6"/>
        <v>0</v>
      </c>
      <c r="F43" s="288">
        <f t="shared" si="7"/>
        <v>0</v>
      </c>
      <c r="G43" s="288">
        <f t="shared" si="8"/>
        <v>0</v>
      </c>
      <c r="I43" s="60"/>
      <c r="K43" s="350"/>
      <c r="T43" s="11" t="s">
        <v>324</v>
      </c>
      <c r="U43" s="11">
        <f>486.06*1659</f>
        <v>806373.54</v>
      </c>
      <c r="V43" s="181">
        <f>U43-C54</f>
        <v>-27945722.91</v>
      </c>
    </row>
    <row r="44" spans="1:22" s="11" customFormat="1" ht="13.5" thickBot="1" x14ac:dyDescent="0.25">
      <c r="A44" s="319" t="s">
        <v>28</v>
      </c>
      <c r="B44" s="286" t="s">
        <v>101</v>
      </c>
      <c r="C44" s="287">
        <f>SUM(C45:C46)</f>
        <v>15000</v>
      </c>
      <c r="D44" s="287">
        <f t="shared" si="5"/>
        <v>3332.8889481402475</v>
      </c>
      <c r="E44" s="288">
        <f t="shared" si="6"/>
        <v>2850</v>
      </c>
      <c r="F44" s="288">
        <f t="shared" si="7"/>
        <v>17850</v>
      </c>
      <c r="G44" s="288">
        <f t="shared" si="8"/>
        <v>3966.1378482868945</v>
      </c>
      <c r="I44" s="60">
        <f>C79*0.5%</f>
        <v>147668.18614999999</v>
      </c>
      <c r="J44" s="11" t="s">
        <v>53</v>
      </c>
      <c r="K44" s="61" t="s">
        <v>60</v>
      </c>
      <c r="O44" s="14" t="s">
        <v>152</v>
      </c>
      <c r="P44" s="14">
        <f>1%*C60</f>
        <v>291189.2145</v>
      </c>
    </row>
    <row r="45" spans="1:22" ht="25.5" x14ac:dyDescent="0.2">
      <c r="A45" s="320"/>
      <c r="B45" s="290" t="s">
        <v>123</v>
      </c>
      <c r="C45" s="291">
        <v>0</v>
      </c>
      <c r="D45" s="287"/>
      <c r="E45" s="279">
        <f>C45*19%</f>
        <v>0</v>
      </c>
      <c r="F45" s="279">
        <f>C45+E45</f>
        <v>0</v>
      </c>
      <c r="G45" s="288"/>
      <c r="I45" s="47"/>
      <c r="K45" s="13"/>
      <c r="T45" s="2" t="s">
        <v>325</v>
      </c>
      <c r="U45" s="2">
        <f>486.06*1751</f>
        <v>851091.06</v>
      </c>
    </row>
    <row r="46" spans="1:22" ht="13.5" thickBot="1" x14ac:dyDescent="0.25">
      <c r="A46" s="320"/>
      <c r="B46" s="290" t="s">
        <v>124</v>
      </c>
      <c r="C46" s="292">
        <v>15000</v>
      </c>
      <c r="D46" s="287"/>
      <c r="E46" s="279">
        <f>C46*19%</f>
        <v>2850</v>
      </c>
      <c r="F46" s="279">
        <f>C46+E46</f>
        <v>17850</v>
      </c>
      <c r="G46" s="288"/>
      <c r="I46" s="47"/>
      <c r="K46" s="13"/>
      <c r="U46" s="2">
        <f>C101-U45</f>
        <v>28267830.390000001</v>
      </c>
    </row>
    <row r="47" spans="1:22" s="1" customFormat="1" ht="13.5" customHeight="1" x14ac:dyDescent="0.2">
      <c r="A47" s="318" t="s">
        <v>30</v>
      </c>
      <c r="B47" s="285" t="s">
        <v>29</v>
      </c>
      <c r="C47" s="285">
        <f>C48+C51</f>
        <v>350000</v>
      </c>
      <c r="D47" s="285">
        <f t="shared" ref="D47:F47" si="11">D48+D51</f>
        <v>22219.259654268317</v>
      </c>
      <c r="E47" s="285">
        <f t="shared" si="11"/>
        <v>66500</v>
      </c>
      <c r="F47" s="285">
        <f t="shared" si="11"/>
        <v>416500</v>
      </c>
      <c r="G47" s="285">
        <f>SUM(G48:G51)</f>
        <v>26440.918988579295</v>
      </c>
      <c r="I47" s="58">
        <f>C60*3%</f>
        <v>873567.64349999989</v>
      </c>
      <c r="J47" s="1" t="s">
        <v>63</v>
      </c>
      <c r="K47" s="349" t="s">
        <v>74</v>
      </c>
      <c r="O47" s="15" t="s">
        <v>55</v>
      </c>
      <c r="P47" s="15">
        <f>1.5%*C79</f>
        <v>443004.55845000001</v>
      </c>
    </row>
    <row r="48" spans="1:22" x14ac:dyDescent="0.2">
      <c r="A48" s="316"/>
      <c r="B48" s="281" t="s">
        <v>125</v>
      </c>
      <c r="C48" s="285">
        <f>C49+C50</f>
        <v>100000</v>
      </c>
      <c r="D48" s="291">
        <f>C48/$D$10</f>
        <v>22219.259654268317</v>
      </c>
      <c r="E48" s="293">
        <f>C48*19%</f>
        <v>19000</v>
      </c>
      <c r="F48" s="293">
        <f>C48+E48</f>
        <v>119000</v>
      </c>
      <c r="G48" s="293">
        <f>D48*1.19</f>
        <v>26440.918988579295</v>
      </c>
      <c r="K48" s="350"/>
    </row>
    <row r="49" spans="1:19" x14ac:dyDescent="0.2">
      <c r="A49" s="316"/>
      <c r="B49" s="281" t="s">
        <v>126</v>
      </c>
      <c r="C49" s="289">
        <v>50000</v>
      </c>
      <c r="D49" s="291"/>
      <c r="E49" s="279">
        <f>C49*19%</f>
        <v>9500</v>
      </c>
      <c r="F49" s="279">
        <f>C49+E49</f>
        <v>59500</v>
      </c>
      <c r="G49" s="293"/>
      <c r="I49" s="50"/>
      <c r="K49" s="350"/>
    </row>
    <row r="50" spans="1:19" ht="51" x14ac:dyDescent="0.2">
      <c r="A50" s="316"/>
      <c r="B50" s="281" t="s">
        <v>127</v>
      </c>
      <c r="C50" s="289">
        <v>50000</v>
      </c>
      <c r="D50" s="291"/>
      <c r="E50" s="279">
        <f>C50*19%</f>
        <v>9500</v>
      </c>
      <c r="F50" s="279">
        <f>C50+E50</f>
        <v>59500</v>
      </c>
      <c r="G50" s="293"/>
      <c r="I50" s="50"/>
      <c r="K50" s="350"/>
      <c r="R50" s="2">
        <f>F60*3%</f>
        <v>1039545.495765</v>
      </c>
    </row>
    <row r="51" spans="1:19" x14ac:dyDescent="0.2">
      <c r="A51" s="316"/>
      <c r="B51" s="281" t="s">
        <v>128</v>
      </c>
      <c r="C51" s="289">
        <v>250000</v>
      </c>
      <c r="D51" s="291"/>
      <c r="E51" s="279">
        <f>C51*19%</f>
        <v>47500</v>
      </c>
      <c r="F51" s="279">
        <f>C51+E51</f>
        <v>297500</v>
      </c>
      <c r="G51" s="293"/>
      <c r="I51" s="47"/>
      <c r="K51" s="350"/>
    </row>
    <row r="52" spans="1:19" ht="15" x14ac:dyDescent="0.25">
      <c r="A52" s="356" t="s">
        <v>22</v>
      </c>
      <c r="B52" s="356"/>
      <c r="C52" s="312">
        <f>C29+C33+C34+C35+C36+C43+C44+C47</f>
        <v>958850</v>
      </c>
      <c r="D52" s="312">
        <f>SUM(D44:D51)</f>
        <v>47771.408256676877</v>
      </c>
      <c r="E52" s="312">
        <f>C52*19%</f>
        <v>182181.5</v>
      </c>
      <c r="F52" s="312">
        <f>C52+E52</f>
        <v>1141031.5</v>
      </c>
      <c r="G52" s="282">
        <f>SUM(G44:G51)</f>
        <v>56847.975825445479</v>
      </c>
      <c r="H52" s="28" t="s">
        <v>86</v>
      </c>
      <c r="I52" s="47"/>
      <c r="K52" s="53"/>
      <c r="O52" s="7" t="s">
        <v>155</v>
      </c>
      <c r="P52" s="7">
        <f>10%*C60</f>
        <v>2911892.145</v>
      </c>
    </row>
    <row r="53" spans="1:19" x14ac:dyDescent="0.2">
      <c r="A53" s="357" t="s">
        <v>31</v>
      </c>
      <c r="B53" s="357"/>
      <c r="C53" s="357"/>
      <c r="D53" s="357"/>
      <c r="E53" s="357"/>
      <c r="F53" s="357"/>
      <c r="G53" s="357"/>
      <c r="H53" s="29"/>
    </row>
    <row r="54" spans="1:19" ht="13.5" thickBot="1" x14ac:dyDescent="0.25">
      <c r="A54" s="316" t="s">
        <v>32</v>
      </c>
      <c r="B54" s="293" t="s">
        <v>37</v>
      </c>
      <c r="C54" s="289">
        <v>28752096.449999999</v>
      </c>
      <c r="D54" s="291">
        <f>C54/$D$10</f>
        <v>6388502.966271163</v>
      </c>
      <c r="E54" s="293">
        <f>C54*19%</f>
        <v>5462898.3255000003</v>
      </c>
      <c r="F54" s="293">
        <f>C54+E54</f>
        <v>34214994.7755</v>
      </c>
      <c r="G54" s="293">
        <f>D54*1.19</f>
        <v>7602318.5298626833</v>
      </c>
      <c r="H54" s="29"/>
    </row>
    <row r="55" spans="1:19" ht="27" thickTop="1" thickBot="1" x14ac:dyDescent="0.25">
      <c r="A55" s="316" t="s">
        <v>33</v>
      </c>
      <c r="B55" s="290" t="s">
        <v>129</v>
      </c>
      <c r="C55" s="289">
        <f>C96</f>
        <v>36000</v>
      </c>
      <c r="D55" s="289">
        <f>C55/D10</f>
        <v>7998.9334755365944</v>
      </c>
      <c r="E55" s="279">
        <f t="shared" ref="E55" si="12">C55*19%</f>
        <v>6840</v>
      </c>
      <c r="F55" s="279">
        <f t="shared" ref="F55" si="13">C55+E55</f>
        <v>42840</v>
      </c>
      <c r="G55" s="279">
        <f t="shared" ref="G55" si="14">D55*1.19</f>
        <v>9518.7308358885475</v>
      </c>
      <c r="H55" s="360" t="s">
        <v>90</v>
      </c>
      <c r="K55" s="5" t="s">
        <v>59</v>
      </c>
    </row>
    <row r="56" spans="1:19" ht="25.5" x14ac:dyDescent="0.2">
      <c r="A56" s="316" t="s">
        <v>34</v>
      </c>
      <c r="B56" s="290" t="s">
        <v>130</v>
      </c>
      <c r="C56" s="289">
        <v>330825</v>
      </c>
      <c r="D56" s="291">
        <f>C56/$D$10</f>
        <v>73506.865751233156</v>
      </c>
      <c r="E56" s="293">
        <f>C56*19%</f>
        <v>62856.75</v>
      </c>
      <c r="F56" s="293">
        <f>C56+E56</f>
        <v>393681.75</v>
      </c>
      <c r="G56" s="293">
        <f>D56*1.19</f>
        <v>87473.170243967455</v>
      </c>
      <c r="H56" s="361"/>
      <c r="J56" s="8"/>
      <c r="K56" s="351" t="s">
        <v>61</v>
      </c>
      <c r="N56" s="10"/>
      <c r="O56" s="52" t="s">
        <v>379</v>
      </c>
      <c r="R56" s="2">
        <f>15%*(C23+C27+C54+C55+C63)</f>
        <v>4500527.6519999998</v>
      </c>
      <c r="S56" s="52" t="s">
        <v>218</v>
      </c>
    </row>
    <row r="57" spans="1:19" ht="38.25" x14ac:dyDescent="0.2">
      <c r="A57" s="316" t="s">
        <v>35</v>
      </c>
      <c r="B57" s="290" t="s">
        <v>131</v>
      </c>
      <c r="C57" s="289">
        <v>0</v>
      </c>
      <c r="D57" s="291"/>
      <c r="E57" s="279">
        <f>C57*19%</f>
        <v>0</v>
      </c>
      <c r="F57" s="279">
        <f>C57+E57</f>
        <v>0</v>
      </c>
      <c r="G57" s="293"/>
      <c r="H57" s="57"/>
      <c r="I57" s="50"/>
      <c r="J57" s="8"/>
      <c r="K57" s="352"/>
      <c r="N57" s="10"/>
    </row>
    <row r="58" spans="1:19" ht="15" x14ac:dyDescent="0.2">
      <c r="A58" s="316" t="s">
        <v>36</v>
      </c>
      <c r="B58" s="290" t="s">
        <v>68</v>
      </c>
      <c r="C58" s="289"/>
      <c r="D58" s="291"/>
      <c r="E58" s="279">
        <f>C58*19%</f>
        <v>0</v>
      </c>
      <c r="F58" s="279">
        <f>C58+E58</f>
        <v>0</v>
      </c>
      <c r="G58" s="293"/>
      <c r="H58" s="57"/>
      <c r="I58" s="50"/>
      <c r="J58" s="8"/>
      <c r="K58" s="352"/>
      <c r="N58" s="10"/>
      <c r="O58" s="52"/>
    </row>
    <row r="59" spans="1:19" ht="15" x14ac:dyDescent="0.2">
      <c r="A59" s="316" t="s">
        <v>132</v>
      </c>
      <c r="B59" s="290" t="s">
        <v>133</v>
      </c>
      <c r="C59" s="289">
        <v>0</v>
      </c>
      <c r="D59" s="291"/>
      <c r="E59" s="279">
        <f>C59*19%</f>
        <v>0</v>
      </c>
      <c r="F59" s="279">
        <f>C59+E59</f>
        <v>0</v>
      </c>
      <c r="G59" s="293"/>
      <c r="H59" s="57"/>
      <c r="I59" s="50"/>
      <c r="J59" s="8"/>
      <c r="K59" s="352"/>
      <c r="N59" s="10"/>
      <c r="O59" s="52"/>
    </row>
    <row r="60" spans="1:19" ht="15.75" thickBot="1" x14ac:dyDescent="0.3">
      <c r="A60" s="356" t="s">
        <v>38</v>
      </c>
      <c r="B60" s="356"/>
      <c r="C60" s="312">
        <f>C54+C55+C56+C57+C58+C59</f>
        <v>29118921.449999999</v>
      </c>
      <c r="D60" s="312">
        <f>SUM(D54:D56)</f>
        <v>6470008.7654979322</v>
      </c>
      <c r="E60" s="312">
        <f>C60*19%</f>
        <v>5532595.0755000003</v>
      </c>
      <c r="F60" s="312">
        <f>C60+E60</f>
        <v>34651516.5255</v>
      </c>
      <c r="G60" s="282">
        <f>SUM(G54:G56)</f>
        <v>7699310.4309425391</v>
      </c>
      <c r="H60" s="28" t="s">
        <v>86</v>
      </c>
      <c r="K60" s="353"/>
    </row>
    <row r="61" spans="1:19" x14ac:dyDescent="0.2">
      <c r="A61" s="357" t="s">
        <v>40</v>
      </c>
      <c r="B61" s="357"/>
      <c r="C61" s="357"/>
      <c r="D61" s="357"/>
      <c r="E61" s="357"/>
      <c r="F61" s="357"/>
      <c r="G61" s="357"/>
      <c r="R61" s="325"/>
    </row>
    <row r="62" spans="1:19" ht="15.75" thickBot="1" x14ac:dyDescent="0.3">
      <c r="A62" s="321" t="s">
        <v>42</v>
      </c>
      <c r="B62" s="294" t="s">
        <v>41</v>
      </c>
      <c r="C62" s="284">
        <f>SUM(C63:C64)</f>
        <v>727494</v>
      </c>
      <c r="D62" s="284">
        <f t="shared" ref="D62:G62" si="15">SUM(D63:D64)</f>
        <v>161643.78082922276</v>
      </c>
      <c r="E62" s="284">
        <f t="shared" si="15"/>
        <v>138223.86000000002</v>
      </c>
      <c r="F62" s="284">
        <f t="shared" si="15"/>
        <v>865717.8600000001</v>
      </c>
      <c r="G62" s="284">
        <f t="shared" si="15"/>
        <v>192356.09918677507</v>
      </c>
      <c r="H62" s="28" t="s">
        <v>86</v>
      </c>
    </row>
    <row r="63" spans="1:19" ht="25.5" x14ac:dyDescent="0.2">
      <c r="A63" s="316"/>
      <c r="B63" s="281" t="s">
        <v>62</v>
      </c>
      <c r="C63" s="289">
        <v>436508</v>
      </c>
      <c r="D63" s="291">
        <f>C63/$D$10</f>
        <v>96988.845931653545</v>
      </c>
      <c r="E63" s="293">
        <f t="shared" ref="E63:E72" si="16">C63*19%</f>
        <v>82936.52</v>
      </c>
      <c r="F63" s="293">
        <f>C63+E63</f>
        <v>519444.52</v>
      </c>
      <c r="G63" s="293">
        <f>D63*1.19</f>
        <v>115416.72665866771</v>
      </c>
      <c r="H63" s="29"/>
      <c r="I63" s="3">
        <f>C79*1.5%</f>
        <v>443004.55845000001</v>
      </c>
      <c r="J63" s="2" t="s">
        <v>55</v>
      </c>
      <c r="K63" s="349" t="s">
        <v>72</v>
      </c>
      <c r="O63" s="7" t="s">
        <v>55</v>
      </c>
      <c r="P63" s="7">
        <f>1.5%*C79</f>
        <v>443004.55845000001</v>
      </c>
    </row>
    <row r="64" spans="1:19" ht="12.75" customHeight="1" thickBot="1" x14ac:dyDescent="0.25">
      <c r="A64" s="316"/>
      <c r="B64" s="279" t="s">
        <v>102</v>
      </c>
      <c r="C64" s="289">
        <v>290986</v>
      </c>
      <c r="D64" s="291">
        <f>C64/$D$10</f>
        <v>64654.934897569205</v>
      </c>
      <c r="E64" s="293">
        <f t="shared" si="16"/>
        <v>55287.340000000004</v>
      </c>
      <c r="F64" s="293">
        <f>C64+E64</f>
        <v>346273.34</v>
      </c>
      <c r="G64" s="293">
        <f>D64*1.19</f>
        <v>76939.372528107357</v>
      </c>
      <c r="H64" s="29"/>
      <c r="I64" s="3">
        <f>C79*1%</f>
        <v>295336.37229999999</v>
      </c>
      <c r="J64" s="2" t="s">
        <v>56</v>
      </c>
      <c r="K64" s="359"/>
      <c r="O64" s="7" t="s">
        <v>151</v>
      </c>
      <c r="P64" s="7">
        <f>1%*C79</f>
        <v>295336.37229999999</v>
      </c>
    </row>
    <row r="65" spans="1:22" x14ac:dyDescent="0.2">
      <c r="A65" s="321" t="s">
        <v>43</v>
      </c>
      <c r="B65" s="294" t="s">
        <v>134</v>
      </c>
      <c r="C65" s="284">
        <f>SUM(C66:C70)</f>
        <v>372029</v>
      </c>
      <c r="D65" s="284" t="e">
        <f>SUM(#REF!)</f>
        <v>#REF!</v>
      </c>
      <c r="E65" s="293">
        <f>SUM(E66:E70)</f>
        <v>0</v>
      </c>
      <c r="F65" s="284">
        <f>SUM(C65,E65)</f>
        <v>372029</v>
      </c>
      <c r="G65" s="284" t="e">
        <f>SUM(#REF!)</f>
        <v>#REF!</v>
      </c>
      <c r="I65" s="3">
        <f>C65*19%</f>
        <v>70685.509999999995</v>
      </c>
    </row>
    <row r="66" spans="1:22" ht="25.5" x14ac:dyDescent="0.2">
      <c r="A66" s="321"/>
      <c r="B66" s="295" t="s">
        <v>135</v>
      </c>
      <c r="C66" s="284">
        <v>0</v>
      </c>
      <c r="D66" s="284"/>
      <c r="E66" s="279">
        <f t="shared" si="16"/>
        <v>0</v>
      </c>
      <c r="F66" s="279">
        <f t="shared" ref="F66:F72" si="17">C66+E66</f>
        <v>0</v>
      </c>
      <c r="G66" s="284"/>
      <c r="I66" s="50"/>
    </row>
    <row r="67" spans="1:22" ht="25.5" x14ac:dyDescent="0.2">
      <c r="A67" s="321"/>
      <c r="B67" s="295" t="s">
        <v>136</v>
      </c>
      <c r="C67" s="284">
        <v>198219</v>
      </c>
      <c r="D67" s="284"/>
      <c r="E67" s="279">
        <v>0</v>
      </c>
      <c r="F67" s="279">
        <f t="shared" si="17"/>
        <v>198219</v>
      </c>
      <c r="G67" s="284"/>
      <c r="I67" s="50"/>
      <c r="O67" s="7" t="s">
        <v>156</v>
      </c>
      <c r="P67" s="7">
        <f>0.007*C54</f>
        <v>201264.67515</v>
      </c>
    </row>
    <row r="68" spans="1:22" ht="38.25" x14ac:dyDescent="0.2">
      <c r="A68" s="321"/>
      <c r="B68" s="295" t="s">
        <v>137</v>
      </c>
      <c r="C68" s="284">
        <v>28317</v>
      </c>
      <c r="D68" s="284"/>
      <c r="E68" s="279">
        <v>0</v>
      </c>
      <c r="F68" s="279">
        <f t="shared" si="17"/>
        <v>28317</v>
      </c>
      <c r="G68" s="284"/>
      <c r="I68" s="50"/>
      <c r="O68" s="7" t="s">
        <v>157</v>
      </c>
      <c r="P68" s="7">
        <f>0.001*C54</f>
        <v>28752.096450000001</v>
      </c>
    </row>
    <row r="69" spans="1:22" ht="25.5" x14ac:dyDescent="0.2">
      <c r="A69" s="321"/>
      <c r="B69" s="295" t="s">
        <v>138</v>
      </c>
      <c r="C69" s="284">
        <v>145493</v>
      </c>
      <c r="D69" s="284"/>
      <c r="E69" s="279">
        <v>0</v>
      </c>
      <c r="F69" s="279">
        <f t="shared" si="17"/>
        <v>145493</v>
      </c>
      <c r="G69" s="284"/>
      <c r="I69" s="50"/>
      <c r="O69" s="7" t="s">
        <v>158</v>
      </c>
      <c r="P69" s="7">
        <f>0.005*C79</f>
        <v>147668.18614999999</v>
      </c>
    </row>
    <row r="70" spans="1:22" ht="25.5" x14ac:dyDescent="0.2">
      <c r="A70" s="321"/>
      <c r="B70" s="295" t="s">
        <v>139</v>
      </c>
      <c r="C70" s="284"/>
      <c r="D70" s="284"/>
      <c r="E70" s="279">
        <f t="shared" si="16"/>
        <v>0</v>
      </c>
      <c r="F70" s="279">
        <f t="shared" si="17"/>
        <v>0</v>
      </c>
      <c r="G70" s="284"/>
      <c r="I70" s="50"/>
    </row>
    <row r="71" spans="1:22" s="11" customFormat="1" ht="15" customHeight="1" thickBot="1" x14ac:dyDescent="0.3">
      <c r="A71" s="319" t="s">
        <v>45</v>
      </c>
      <c r="B71" s="286" t="s">
        <v>44</v>
      </c>
      <c r="C71" s="287">
        <f>P71</f>
        <v>2942795.4230000004</v>
      </c>
      <c r="D71" s="287">
        <f>C71/$D$10</f>
        <v>653867.3561302938</v>
      </c>
      <c r="E71" s="288">
        <f t="shared" si="16"/>
        <v>559131.13037000003</v>
      </c>
      <c r="F71" s="288">
        <f t="shared" si="17"/>
        <v>3501926.5533700003</v>
      </c>
      <c r="G71" s="288">
        <f>D71*1.19</f>
        <v>778102.15379504964</v>
      </c>
      <c r="H71" s="62" t="s">
        <v>86</v>
      </c>
      <c r="I71" s="60" t="e">
        <f>(C27+#REF!+C60)*10%</f>
        <v>#REF!</v>
      </c>
      <c r="J71" s="11" t="s">
        <v>57</v>
      </c>
      <c r="K71" s="63"/>
      <c r="O71" s="14" t="s">
        <v>159</v>
      </c>
      <c r="P71" s="14">
        <f>10%*(C20+C17+C27+C60)</f>
        <v>2942795.4230000004</v>
      </c>
    </row>
    <row r="72" spans="1:22" s="11" customFormat="1" ht="15" customHeight="1" x14ac:dyDescent="0.25">
      <c r="A72" s="319" t="s">
        <v>140</v>
      </c>
      <c r="B72" s="286" t="s">
        <v>141</v>
      </c>
      <c r="C72" s="287">
        <v>17670</v>
      </c>
      <c r="D72" s="287"/>
      <c r="E72" s="288">
        <f t="shared" si="16"/>
        <v>3357.3</v>
      </c>
      <c r="F72" s="288">
        <f t="shared" si="17"/>
        <v>21027.3</v>
      </c>
      <c r="G72" s="288"/>
      <c r="H72" s="64"/>
      <c r="I72" s="60"/>
      <c r="K72" s="65"/>
    </row>
    <row r="73" spans="1:22" x14ac:dyDescent="0.2">
      <c r="A73" s="356" t="s">
        <v>39</v>
      </c>
      <c r="B73" s="356"/>
      <c r="C73" s="312">
        <f>C62+C65+C71+C72</f>
        <v>4059988.4230000004</v>
      </c>
      <c r="D73" s="312" t="e">
        <f>D62+D65+D71+#REF!</f>
        <v>#REF!</v>
      </c>
      <c r="E73" s="312">
        <f>E62+E65+E71+E72</f>
        <v>700712.29037000006</v>
      </c>
      <c r="F73" s="312">
        <f>C73+E73</f>
        <v>4760700.7133700009</v>
      </c>
      <c r="G73" s="282" t="e">
        <f>G62+G65+G71+#REF!</f>
        <v>#REF!</v>
      </c>
    </row>
    <row r="74" spans="1:22" x14ac:dyDescent="0.2">
      <c r="A74" s="358" t="s">
        <v>142</v>
      </c>
      <c r="B74" s="358"/>
      <c r="C74" s="358"/>
      <c r="D74" s="358"/>
      <c r="E74" s="358"/>
      <c r="F74" s="358"/>
      <c r="G74" s="358"/>
      <c r="O74" s="2" t="s">
        <v>103</v>
      </c>
    </row>
    <row r="75" spans="1:22" x14ac:dyDescent="0.2">
      <c r="A75" s="322" t="s">
        <v>143</v>
      </c>
      <c r="B75" s="296" t="s">
        <v>144</v>
      </c>
      <c r="C75" s="296"/>
      <c r="D75" s="297"/>
      <c r="E75" s="279">
        <f>C75*19%</f>
        <v>0</v>
      </c>
      <c r="F75" s="279">
        <f>C75+E75</f>
        <v>0</v>
      </c>
      <c r="G75" s="297"/>
      <c r="I75" s="50"/>
      <c r="V75" s="2">
        <f>7700*4.6575</f>
        <v>35862.75</v>
      </c>
    </row>
    <row r="76" spans="1:22" x14ac:dyDescent="0.2">
      <c r="A76" s="322" t="s">
        <v>145</v>
      </c>
      <c r="B76" s="296" t="s">
        <v>146</v>
      </c>
      <c r="C76" s="297">
        <v>19250</v>
      </c>
      <c r="D76" s="297"/>
      <c r="E76" s="296">
        <f>C76*19%</f>
        <v>3657.5</v>
      </c>
      <c r="F76" s="279">
        <f>C76+E76</f>
        <v>22907.5</v>
      </c>
      <c r="G76" s="297"/>
      <c r="I76" s="50"/>
      <c r="V76" s="2">
        <f>V75*55</f>
        <v>1972451.25</v>
      </c>
    </row>
    <row r="77" spans="1:22" ht="15" x14ac:dyDescent="0.25">
      <c r="A77" s="356" t="s">
        <v>46</v>
      </c>
      <c r="B77" s="356"/>
      <c r="C77" s="312">
        <f>C75+C76</f>
        <v>19250</v>
      </c>
      <c r="D77" s="312" t="e">
        <f>SUM(D60:D74)</f>
        <v>#REF!</v>
      </c>
      <c r="E77" s="312">
        <f>C77*19%</f>
        <v>3657.5</v>
      </c>
      <c r="F77" s="312">
        <f>C77+E77</f>
        <v>22907.5</v>
      </c>
      <c r="G77" s="282" t="e">
        <f>SUM(G60:G74)</f>
        <v>#REF!</v>
      </c>
      <c r="H77" s="28" t="s">
        <v>86</v>
      </c>
      <c r="I77" s="47"/>
      <c r="V77" s="2">
        <f>V76-C78</f>
        <v>-32963471.853</v>
      </c>
    </row>
    <row r="78" spans="1:22" ht="15.75" customHeight="1" x14ac:dyDescent="0.25">
      <c r="A78" s="354" t="s">
        <v>47</v>
      </c>
      <c r="B78" s="354"/>
      <c r="C78" s="342">
        <f>SUM(C77+C73+C60+C52+C27+C23)</f>
        <v>34935923.103</v>
      </c>
      <c r="D78" s="342" t="e">
        <f>D23+D27+#REF!+D60+D73+#REF!</f>
        <v>#REF!</v>
      </c>
      <c r="E78" s="342">
        <f>E23+E52+E60+E73+E77+E27</f>
        <v>6567139.8795699999</v>
      </c>
      <c r="F78" s="342">
        <f>C78+E78</f>
        <v>41503062.98257</v>
      </c>
      <c r="G78" s="323" t="e">
        <f>G23+G27+#REF!+G60+G73+#REF!</f>
        <v>#REF!</v>
      </c>
      <c r="K78" s="9">
        <v>404</v>
      </c>
      <c r="O78" s="2">
        <f>F78/F10</f>
        <v>891.10172802082661</v>
      </c>
    </row>
    <row r="79" spans="1:22" s="54" customFormat="1" ht="15.75" customHeight="1" thickBot="1" x14ac:dyDescent="0.25">
      <c r="A79" s="355" t="s">
        <v>149</v>
      </c>
      <c r="B79" s="355"/>
      <c r="C79" s="341">
        <f>C63+C55+C54+C27+C22+C20+C17</f>
        <v>29533637.23</v>
      </c>
      <c r="D79" s="341" t="e">
        <f>#REF!+D17+#REF!+D27+D54+D55+D63</f>
        <v>#REF!</v>
      </c>
      <c r="E79" s="341">
        <f>C79*19%</f>
        <v>5611391.0737000005</v>
      </c>
      <c r="F79" s="341">
        <f>C79+E79</f>
        <v>35145028.3037</v>
      </c>
      <c r="G79" s="324" t="e">
        <f>#REF!+G17+#REF!+G27+G54+G55+G63</f>
        <v>#REF!</v>
      </c>
      <c r="I79" s="55"/>
      <c r="K79" s="56">
        <v>431</v>
      </c>
    </row>
    <row r="80" spans="1:22" x14ac:dyDescent="0.2">
      <c r="A80" s="338"/>
      <c r="B80" s="7"/>
      <c r="C80" s="15"/>
      <c r="D80" s="15"/>
      <c r="E80" s="7"/>
      <c r="F80" s="7"/>
      <c r="G80" s="7"/>
    </row>
    <row r="81" spans="1:15" x14ac:dyDescent="0.2">
      <c r="B81" s="2" t="s">
        <v>77</v>
      </c>
      <c r="C81" s="348"/>
    </row>
    <row r="82" spans="1:15" ht="15" x14ac:dyDescent="0.25">
      <c r="B82" t="s">
        <v>380</v>
      </c>
    </row>
    <row r="83" spans="1:15" ht="31.5" customHeight="1" x14ac:dyDescent="0.25">
      <c r="B83"/>
      <c r="I83" s="339"/>
    </row>
    <row r="85" spans="1:15" x14ac:dyDescent="0.2">
      <c r="B85" s="11" t="s">
        <v>71</v>
      </c>
    </row>
    <row r="87" spans="1:15" x14ac:dyDescent="0.2">
      <c r="A87" s="366" t="s">
        <v>0</v>
      </c>
      <c r="B87" s="374" t="s">
        <v>1</v>
      </c>
      <c r="C87" s="366" t="s">
        <v>2</v>
      </c>
      <c r="D87" s="366"/>
      <c r="E87" s="313" t="s">
        <v>3</v>
      </c>
      <c r="F87" s="366" t="s">
        <v>4</v>
      </c>
      <c r="G87" s="366"/>
    </row>
    <row r="88" spans="1:15" x14ac:dyDescent="0.2">
      <c r="A88" s="366"/>
      <c r="B88" s="374"/>
      <c r="C88" s="326" t="s">
        <v>51</v>
      </c>
      <c r="D88" s="326" t="s">
        <v>50</v>
      </c>
      <c r="E88" s="313" t="s">
        <v>51</v>
      </c>
      <c r="F88" s="313" t="s">
        <v>51</v>
      </c>
      <c r="G88" s="314" t="s">
        <v>50</v>
      </c>
    </row>
    <row r="89" spans="1:15" x14ac:dyDescent="0.2">
      <c r="A89" s="327" t="s">
        <v>5</v>
      </c>
      <c r="B89" s="327" t="s">
        <v>6</v>
      </c>
      <c r="C89" s="328" t="s">
        <v>7</v>
      </c>
      <c r="D89" s="328" t="s">
        <v>8</v>
      </c>
      <c r="E89" s="327" t="s">
        <v>9</v>
      </c>
      <c r="F89" s="327" t="s">
        <v>48</v>
      </c>
      <c r="G89" s="327" t="s">
        <v>49</v>
      </c>
      <c r="L89" s="373" t="s">
        <v>75</v>
      </c>
    </row>
    <row r="90" spans="1:15" x14ac:dyDescent="0.2">
      <c r="A90" s="375" t="s">
        <v>31</v>
      </c>
      <c r="B90" s="375"/>
      <c r="C90" s="375"/>
      <c r="D90" s="375"/>
      <c r="E90" s="375"/>
      <c r="F90" s="375"/>
      <c r="G90" s="375"/>
      <c r="L90" s="373"/>
    </row>
    <row r="91" spans="1:15" x14ac:dyDescent="0.2">
      <c r="A91" s="329" t="s">
        <v>32</v>
      </c>
      <c r="B91" s="14" t="s">
        <v>37</v>
      </c>
      <c r="C91" s="310">
        <f>C92+C93+C94+C95</f>
        <v>28752096.449999999</v>
      </c>
      <c r="D91" s="311">
        <f>C91/D10</f>
        <v>6388502.966271163</v>
      </c>
      <c r="E91" s="330">
        <f t="shared" ref="E91:E98" si="18">C91*0.19</f>
        <v>5462898.3255000003</v>
      </c>
      <c r="F91" s="330">
        <f>C91+E91</f>
        <v>34214994.7755</v>
      </c>
      <c r="G91" s="14">
        <f>SUM(G92:G95)</f>
        <v>7602318.5298626833</v>
      </c>
      <c r="L91" s="373"/>
    </row>
    <row r="92" spans="1:15" x14ac:dyDescent="0.2">
      <c r="A92" s="331"/>
      <c r="B92" s="332" t="s">
        <v>98</v>
      </c>
      <c r="C92" s="333">
        <v>1569012</v>
      </c>
      <c r="D92" s="334">
        <f>C92/D10</f>
        <v>348622.85028662841</v>
      </c>
      <c r="E92" s="334">
        <f t="shared" si="18"/>
        <v>298112.28000000003</v>
      </c>
      <c r="F92" s="334">
        <f t="shared" ref="F92:F98" si="19">C92+E92</f>
        <v>1867124.28</v>
      </c>
      <c r="G92" s="335">
        <f>D92*1.19</f>
        <v>414861.19184108777</v>
      </c>
      <c r="L92" s="373"/>
    </row>
    <row r="93" spans="1:15" x14ac:dyDescent="0.2">
      <c r="A93" s="331"/>
      <c r="B93" s="335" t="s">
        <v>64</v>
      </c>
      <c r="C93" s="334">
        <v>10663618.17</v>
      </c>
      <c r="D93" s="334">
        <f>C93/D10</f>
        <v>2369377.0097320355</v>
      </c>
      <c r="E93" s="334">
        <f t="shared" si="18"/>
        <v>2026087.4523</v>
      </c>
      <c r="F93" s="334">
        <f t="shared" si="19"/>
        <v>12689705.622299999</v>
      </c>
      <c r="G93" s="335">
        <f>D93*1.19</f>
        <v>2819558.6415811218</v>
      </c>
      <c r="L93" s="2" t="e">
        <f>#REF!</f>
        <v>#REF!</v>
      </c>
      <c r="O93" s="307"/>
    </row>
    <row r="94" spans="1:15" x14ac:dyDescent="0.2">
      <c r="A94" s="331"/>
      <c r="B94" s="335" t="s">
        <v>69</v>
      </c>
      <c r="C94" s="334">
        <v>10976694.810000001</v>
      </c>
      <c r="D94" s="334">
        <f>C94/D10</f>
        <v>2438940.3212904944</v>
      </c>
      <c r="E94" s="334">
        <f t="shared" si="18"/>
        <v>2085572.0139000001</v>
      </c>
      <c r="F94" s="334">
        <f t="shared" si="19"/>
        <v>13062266.823900001</v>
      </c>
      <c r="G94" s="335">
        <f t="shared" ref="G94:G98" si="20">D94*1.19</f>
        <v>2902338.9823356881</v>
      </c>
      <c r="L94" s="2" t="e">
        <f>#REF!</f>
        <v>#REF!</v>
      </c>
    </row>
    <row r="95" spans="1:15" x14ac:dyDescent="0.2">
      <c r="A95" s="331"/>
      <c r="B95" s="335" t="s">
        <v>70</v>
      </c>
      <c r="C95" s="334">
        <v>5542771.4699999997</v>
      </c>
      <c r="D95" s="334">
        <f>C95/D10</f>
        <v>1231562.784962005</v>
      </c>
      <c r="E95" s="334">
        <f t="shared" si="18"/>
        <v>1053126.5792999999</v>
      </c>
      <c r="F95" s="334">
        <f t="shared" si="19"/>
        <v>6595898.0493000001</v>
      </c>
      <c r="G95" s="335">
        <f t="shared" si="20"/>
        <v>1465559.7141047858</v>
      </c>
      <c r="L95" s="2" t="e">
        <f>#REF!</f>
        <v>#REF!</v>
      </c>
    </row>
    <row r="96" spans="1:15" ht="25.5" x14ac:dyDescent="0.2">
      <c r="A96" s="329" t="s">
        <v>33</v>
      </c>
      <c r="B96" s="336" t="s">
        <v>65</v>
      </c>
      <c r="C96" s="311">
        <v>36000</v>
      </c>
      <c r="D96" s="311">
        <f>C96/D10</f>
        <v>7998.9334755365944</v>
      </c>
      <c r="E96" s="330">
        <f t="shared" si="18"/>
        <v>6840</v>
      </c>
      <c r="F96" s="330">
        <f t="shared" si="19"/>
        <v>42840</v>
      </c>
      <c r="G96" s="14">
        <f t="shared" si="20"/>
        <v>9518.7308358885475</v>
      </c>
      <c r="J96" s="12" t="s">
        <v>76</v>
      </c>
      <c r="L96" s="2" t="e">
        <f>#REF!</f>
        <v>#REF!</v>
      </c>
    </row>
    <row r="97" spans="1:9" ht="25.5" x14ac:dyDescent="0.2">
      <c r="A97" s="329" t="s">
        <v>34</v>
      </c>
      <c r="B97" s="336" t="s">
        <v>66</v>
      </c>
      <c r="C97" s="311">
        <f>C56</f>
        <v>330825</v>
      </c>
      <c r="D97" s="311">
        <f>C97/D10</f>
        <v>73506.865751233156</v>
      </c>
      <c r="E97" s="330">
        <f t="shared" si="18"/>
        <v>62856.75</v>
      </c>
      <c r="F97" s="330">
        <f t="shared" si="19"/>
        <v>393681.75</v>
      </c>
      <c r="G97" s="14">
        <f t="shared" si="20"/>
        <v>87473.170243967455</v>
      </c>
    </row>
    <row r="98" spans="1:9" ht="25.5" x14ac:dyDescent="0.2">
      <c r="A98" s="329" t="s">
        <v>35</v>
      </c>
      <c r="B98" s="336" t="s">
        <v>67</v>
      </c>
      <c r="C98" s="311">
        <v>0</v>
      </c>
      <c r="D98" s="311">
        <f>C98/D10</f>
        <v>0</v>
      </c>
      <c r="E98" s="330">
        <f t="shared" si="18"/>
        <v>0</v>
      </c>
      <c r="F98" s="330">
        <f t="shared" si="19"/>
        <v>0</v>
      </c>
      <c r="G98" s="14">
        <f t="shared" si="20"/>
        <v>0</v>
      </c>
    </row>
    <row r="99" spans="1:9" x14ac:dyDescent="0.2">
      <c r="A99" s="329" t="s">
        <v>36</v>
      </c>
      <c r="B99" s="336" t="s">
        <v>68</v>
      </c>
      <c r="C99" s="311"/>
      <c r="D99" s="311">
        <f>C99/D10</f>
        <v>0</v>
      </c>
      <c r="E99" s="330">
        <f>C99*0.19</f>
        <v>0</v>
      </c>
      <c r="F99" s="330">
        <f>C99+E99</f>
        <v>0</v>
      </c>
      <c r="G99" s="14">
        <f>D99*1.19</f>
        <v>0</v>
      </c>
    </row>
    <row r="100" spans="1:9" x14ac:dyDescent="0.2">
      <c r="A100" s="329" t="s">
        <v>93</v>
      </c>
      <c r="B100" s="336" t="s">
        <v>94</v>
      </c>
      <c r="C100" s="311">
        <v>0</v>
      </c>
      <c r="D100" s="311">
        <f>C100*D10</f>
        <v>0</v>
      </c>
      <c r="E100" s="330">
        <f>C100*0.19</f>
        <v>0</v>
      </c>
      <c r="F100" s="330">
        <f>C100+E100</f>
        <v>0</v>
      </c>
      <c r="G100" s="14">
        <f>D100*1.19</f>
        <v>0</v>
      </c>
      <c r="I100" s="39"/>
    </row>
    <row r="101" spans="1:9" x14ac:dyDescent="0.2">
      <c r="A101" s="356" t="s">
        <v>38</v>
      </c>
      <c r="B101" s="356"/>
      <c r="C101" s="312">
        <f>C91+C96+C97+C98+C99</f>
        <v>29118921.449999999</v>
      </c>
      <c r="D101" s="312">
        <f>D91+D96+D97+D98+D99</f>
        <v>6470008.7654979322</v>
      </c>
      <c r="E101" s="312">
        <f>E91+E96+E97+E98+E99</f>
        <v>5532595.0755000003</v>
      </c>
      <c r="F101" s="312">
        <f>F91+F96+F97+F98+F99</f>
        <v>34651516.5255</v>
      </c>
      <c r="G101" s="337">
        <f>G91+G96+G97+G98+G99</f>
        <v>7699310.4309425391</v>
      </c>
    </row>
    <row r="103" spans="1:9" ht="15" x14ac:dyDescent="0.25">
      <c r="B103" t="s">
        <v>380</v>
      </c>
    </row>
    <row r="104" spans="1:9" ht="15.75" customHeight="1" x14ac:dyDescent="0.2">
      <c r="A104" s="2"/>
      <c r="B104" s="46"/>
      <c r="C104" s="2"/>
      <c r="D104" s="2"/>
      <c r="I104" s="2"/>
    </row>
    <row r="105" spans="1:9" x14ac:dyDescent="0.2">
      <c r="A105" s="2"/>
      <c r="B105" s="46"/>
      <c r="C105" s="2"/>
      <c r="D105" s="2"/>
      <c r="I105" s="2"/>
    </row>
    <row r="106" spans="1:9" x14ac:dyDescent="0.2">
      <c r="A106" s="2"/>
      <c r="B106" s="46"/>
      <c r="C106" s="2"/>
      <c r="D106" s="2"/>
      <c r="I106" s="2"/>
    </row>
    <row r="107" spans="1:9" x14ac:dyDescent="0.2">
      <c r="A107" s="2"/>
      <c r="C107" s="2"/>
      <c r="D107" s="2"/>
      <c r="I107" s="2"/>
    </row>
    <row r="108" spans="1:9" x14ac:dyDescent="0.2">
      <c r="A108" s="2"/>
      <c r="C108" s="2"/>
      <c r="D108" s="2"/>
      <c r="I108" s="2"/>
    </row>
    <row r="109" spans="1:9" x14ac:dyDescent="0.2">
      <c r="A109" s="2"/>
      <c r="C109" s="2"/>
      <c r="D109" s="2"/>
      <c r="I109" s="2"/>
    </row>
    <row r="110" spans="1:9" x14ac:dyDescent="0.2">
      <c r="A110" s="2"/>
      <c r="C110" s="2"/>
      <c r="D110" s="2"/>
      <c r="I110" s="2"/>
    </row>
    <row r="111" spans="1:9" x14ac:dyDescent="0.2">
      <c r="A111" s="2"/>
      <c r="C111" s="2"/>
      <c r="D111" s="2"/>
      <c r="I111" s="2"/>
    </row>
    <row r="112" spans="1:9" x14ac:dyDescent="0.2">
      <c r="A112" s="2"/>
      <c r="C112" s="2"/>
      <c r="D112" s="2"/>
      <c r="I112" s="2"/>
    </row>
    <row r="113" spans="1:9" x14ac:dyDescent="0.2">
      <c r="A113" s="2"/>
      <c r="C113" s="2"/>
      <c r="D113" s="2"/>
      <c r="I113" s="2"/>
    </row>
    <row r="114" spans="1:9" x14ac:dyDescent="0.2">
      <c r="A114" s="2"/>
      <c r="C114" s="2"/>
      <c r="D114" s="2"/>
      <c r="I114" s="2"/>
    </row>
    <row r="115" spans="1:9" x14ac:dyDescent="0.2">
      <c r="A115" s="2"/>
      <c r="C115" s="2"/>
      <c r="D115" s="2"/>
      <c r="I115" s="2"/>
    </row>
    <row r="116" spans="1:9" x14ac:dyDescent="0.2">
      <c r="A116" s="2"/>
      <c r="C116" s="2"/>
      <c r="D116" s="2"/>
      <c r="I116" s="2"/>
    </row>
    <row r="117" spans="1:9" x14ac:dyDescent="0.2">
      <c r="A117" s="2"/>
      <c r="C117" s="2"/>
      <c r="D117" s="2"/>
      <c r="I117" s="2"/>
    </row>
    <row r="118" spans="1:9" x14ac:dyDescent="0.2">
      <c r="A118" s="2"/>
      <c r="C118" s="2"/>
      <c r="D118" s="2"/>
      <c r="I118" s="2"/>
    </row>
    <row r="119" spans="1:9" x14ac:dyDescent="0.2">
      <c r="A119" s="2"/>
      <c r="C119" s="2"/>
      <c r="D119" s="2"/>
      <c r="I119" s="2"/>
    </row>
    <row r="120" spans="1:9" x14ac:dyDescent="0.2">
      <c r="A120" s="2"/>
      <c r="B120" s="3"/>
      <c r="C120" s="2"/>
      <c r="D120" s="2"/>
      <c r="I120" s="2"/>
    </row>
    <row r="121" spans="1:9" x14ac:dyDescent="0.2">
      <c r="A121" s="2"/>
      <c r="B121" s="3"/>
      <c r="C121" s="2"/>
      <c r="D121" s="2"/>
      <c r="I121" s="2"/>
    </row>
    <row r="122" spans="1:9" x14ac:dyDescent="0.2">
      <c r="A122" s="2"/>
      <c r="B122" s="3"/>
      <c r="C122" s="2"/>
      <c r="D122" s="2"/>
      <c r="I122" s="2"/>
    </row>
    <row r="123" spans="1:9" x14ac:dyDescent="0.2">
      <c r="A123" s="2"/>
      <c r="B123" s="3"/>
      <c r="C123" s="2"/>
      <c r="D123" s="2"/>
      <c r="I123" s="2"/>
    </row>
    <row r="124" spans="1:9" x14ac:dyDescent="0.2">
      <c r="A124" s="2"/>
      <c r="B124" s="3"/>
      <c r="C124" s="2"/>
      <c r="D124" s="2"/>
      <c r="I124" s="2"/>
    </row>
    <row r="125" spans="1:9" x14ac:dyDescent="0.2">
      <c r="A125" s="2"/>
      <c r="B125" s="3"/>
      <c r="C125" s="2"/>
      <c r="D125" s="2"/>
      <c r="I125" s="2"/>
    </row>
    <row r="126" spans="1:9" x14ac:dyDescent="0.2">
      <c r="A126" s="2"/>
      <c r="B126" s="3"/>
      <c r="C126" s="2"/>
      <c r="D126" s="2"/>
      <c r="I126" s="2"/>
    </row>
    <row r="127" spans="1:9" x14ac:dyDescent="0.2">
      <c r="A127" s="2"/>
      <c r="B127" s="3"/>
      <c r="C127" s="2"/>
      <c r="D127" s="2"/>
      <c r="I127" s="2"/>
    </row>
    <row r="128" spans="1:9" x14ac:dyDescent="0.2">
      <c r="A128" s="2"/>
      <c r="B128" s="3"/>
      <c r="C128" s="2"/>
      <c r="D128" s="2"/>
      <c r="I128" s="2"/>
    </row>
    <row r="129" spans="1:9" x14ac:dyDescent="0.2">
      <c r="A129" s="2"/>
      <c r="B129" s="3"/>
      <c r="C129" s="2"/>
      <c r="D129" s="2"/>
      <c r="I129" s="2"/>
    </row>
    <row r="130" spans="1:9" x14ac:dyDescent="0.2">
      <c r="A130" s="2"/>
      <c r="B130" s="3"/>
      <c r="C130" s="2"/>
      <c r="D130" s="2"/>
      <c r="I130" s="2"/>
    </row>
    <row r="131" spans="1:9" x14ac:dyDescent="0.2">
      <c r="A131" s="2"/>
      <c r="B131" s="3"/>
      <c r="C131" s="2"/>
      <c r="D131" s="2"/>
      <c r="I131" s="2"/>
    </row>
    <row r="132" spans="1:9" x14ac:dyDescent="0.2">
      <c r="A132" s="2"/>
      <c r="B132" s="3"/>
      <c r="C132" s="2"/>
      <c r="D132" s="2"/>
      <c r="I132" s="2"/>
    </row>
    <row r="137" spans="1:9" ht="12.75" customHeight="1" x14ac:dyDescent="0.2">
      <c r="A137" s="2"/>
      <c r="B137" s="3"/>
      <c r="C137" s="2"/>
      <c r="D137" s="2"/>
      <c r="I137" s="2"/>
    </row>
    <row r="138" spans="1:9" x14ac:dyDescent="0.2">
      <c r="A138" s="2"/>
      <c r="B138" s="3"/>
      <c r="C138" s="2"/>
      <c r="D138" s="2"/>
      <c r="I138" s="2"/>
    </row>
    <row r="139" spans="1:9" x14ac:dyDescent="0.2">
      <c r="A139" s="2"/>
      <c r="B139" s="3"/>
      <c r="C139" s="2"/>
      <c r="D139" s="2"/>
      <c r="I139" s="2"/>
    </row>
    <row r="140" spans="1:9" x14ac:dyDescent="0.2">
      <c r="A140" s="2"/>
      <c r="B140" s="3"/>
      <c r="C140" s="2"/>
      <c r="D140" s="2"/>
      <c r="I140" s="2"/>
    </row>
    <row r="141" spans="1:9" x14ac:dyDescent="0.2">
      <c r="A141" s="2"/>
      <c r="B141" s="3"/>
      <c r="C141" s="2"/>
      <c r="D141" s="2"/>
      <c r="I141" s="2"/>
    </row>
    <row r="142" spans="1:9" x14ac:dyDescent="0.2">
      <c r="A142" s="2"/>
      <c r="B142" s="3"/>
      <c r="C142" s="2"/>
      <c r="D142" s="2"/>
      <c r="I142" s="2"/>
    </row>
    <row r="143" spans="1:9" x14ac:dyDescent="0.2">
      <c r="A143" s="2"/>
      <c r="B143" s="3"/>
      <c r="C143" s="2"/>
      <c r="D143" s="2"/>
      <c r="I143" s="2"/>
    </row>
    <row r="144" spans="1:9" x14ac:dyDescent="0.2">
      <c r="A144" s="2"/>
      <c r="B144" s="3"/>
      <c r="C144" s="2"/>
      <c r="D144" s="2"/>
      <c r="I144" s="2"/>
    </row>
    <row r="145" spans="1:9" x14ac:dyDescent="0.2">
      <c r="A145" s="2"/>
      <c r="B145" s="3"/>
      <c r="C145" s="2"/>
      <c r="D145" s="2"/>
      <c r="I145" s="2"/>
    </row>
    <row r="146" spans="1:9" x14ac:dyDescent="0.2">
      <c r="A146" s="2"/>
      <c r="B146" s="3"/>
      <c r="C146" s="2"/>
      <c r="D146" s="2"/>
      <c r="I146" s="2"/>
    </row>
    <row r="147" spans="1:9" x14ac:dyDescent="0.2">
      <c r="A147" s="2"/>
      <c r="B147" s="3"/>
      <c r="C147" s="2"/>
      <c r="D147" s="2"/>
      <c r="I147" s="2"/>
    </row>
    <row r="148" spans="1:9" x14ac:dyDescent="0.2">
      <c r="A148" s="2"/>
      <c r="B148" s="3"/>
      <c r="C148" s="2"/>
      <c r="D148" s="2"/>
      <c r="I148" s="2"/>
    </row>
    <row r="149" spans="1:9" x14ac:dyDescent="0.2">
      <c r="A149" s="2"/>
      <c r="B149" s="3"/>
      <c r="C149" s="2"/>
      <c r="D149" s="2"/>
      <c r="I149" s="2"/>
    </row>
    <row r="150" spans="1:9" x14ac:dyDescent="0.2">
      <c r="A150" s="2"/>
      <c r="B150" s="3"/>
      <c r="C150" s="2"/>
      <c r="D150" s="2"/>
      <c r="I150" s="2"/>
    </row>
    <row r="151" spans="1:9" x14ac:dyDescent="0.2">
      <c r="A151" s="2"/>
      <c r="B151" s="3"/>
      <c r="C151" s="2"/>
      <c r="D151" s="2"/>
      <c r="I151" s="2"/>
    </row>
    <row r="152" spans="1:9" x14ac:dyDescent="0.2">
      <c r="A152" s="2"/>
      <c r="B152" s="3"/>
      <c r="C152" s="2"/>
      <c r="D152" s="2"/>
      <c r="I152" s="2"/>
    </row>
    <row r="153" spans="1:9" x14ac:dyDescent="0.2">
      <c r="A153" s="2"/>
      <c r="B153" s="3"/>
      <c r="C153" s="2"/>
      <c r="D153" s="2"/>
      <c r="I153" s="2"/>
    </row>
    <row r="154" spans="1:9" x14ac:dyDescent="0.2">
      <c r="A154" s="2"/>
      <c r="B154" s="3"/>
      <c r="C154" s="2"/>
      <c r="D154" s="2"/>
      <c r="I154" s="2"/>
    </row>
    <row r="155" spans="1:9" x14ac:dyDescent="0.2">
      <c r="A155" s="2"/>
      <c r="B155" s="3"/>
      <c r="C155" s="2"/>
      <c r="D155" s="2"/>
      <c r="I155" s="2"/>
    </row>
    <row r="156" spans="1:9" x14ac:dyDescent="0.2">
      <c r="A156" s="2"/>
      <c r="B156" s="3"/>
      <c r="C156" s="2"/>
      <c r="D156" s="2"/>
      <c r="I156" s="2"/>
    </row>
    <row r="157" spans="1:9" x14ac:dyDescent="0.2">
      <c r="A157" s="2"/>
      <c r="B157" s="3"/>
      <c r="C157" s="2"/>
      <c r="D157" s="2"/>
      <c r="I157" s="2"/>
    </row>
    <row r="158" spans="1:9" x14ac:dyDescent="0.2">
      <c r="A158" s="2"/>
      <c r="B158" s="3"/>
      <c r="C158" s="2"/>
      <c r="D158" s="2"/>
      <c r="I158" s="2"/>
    </row>
    <row r="159" spans="1:9" x14ac:dyDescent="0.2">
      <c r="A159" s="2"/>
      <c r="B159" s="3"/>
      <c r="C159" s="2"/>
      <c r="D159" s="2"/>
      <c r="I159" s="2"/>
    </row>
    <row r="160" spans="1:9" x14ac:dyDescent="0.2">
      <c r="A160" s="2"/>
      <c r="B160" s="3"/>
      <c r="C160" s="2"/>
      <c r="D160" s="2"/>
      <c r="I160" s="2"/>
    </row>
    <row r="161" spans="1:9" x14ac:dyDescent="0.2">
      <c r="A161" s="2"/>
      <c r="B161" s="3"/>
      <c r="C161" s="2"/>
      <c r="D161" s="2"/>
      <c r="I161" s="2"/>
    </row>
  </sheetData>
  <mergeCells count="40">
    <mergeCell ref="L89:L92"/>
    <mergeCell ref="A101:B101"/>
    <mergeCell ref="A53:G53"/>
    <mergeCell ref="A87:A88"/>
    <mergeCell ref="B87:B88"/>
    <mergeCell ref="C87:D87"/>
    <mergeCell ref="F87:G87"/>
    <mergeCell ref="A90:G90"/>
    <mergeCell ref="A28:G28"/>
    <mergeCell ref="C12:D12"/>
    <mergeCell ref="F12:G12"/>
    <mergeCell ref="A15:G15"/>
    <mergeCell ref="A23:B23"/>
    <mergeCell ref="A24:G24"/>
    <mergeCell ref="A27:B27"/>
    <mergeCell ref="A1:B1"/>
    <mergeCell ref="A2:B2"/>
    <mergeCell ref="A4:G4"/>
    <mergeCell ref="A3:B3"/>
    <mergeCell ref="A6:G6"/>
    <mergeCell ref="A11:G11"/>
    <mergeCell ref="A5:G5"/>
    <mergeCell ref="A7:G7"/>
    <mergeCell ref="A10:B10"/>
    <mergeCell ref="A12:A13"/>
    <mergeCell ref="B12:B13"/>
    <mergeCell ref="A8:F8"/>
    <mergeCell ref="K33:K43"/>
    <mergeCell ref="K47:K51"/>
    <mergeCell ref="K56:K60"/>
    <mergeCell ref="A78:B78"/>
    <mergeCell ref="A79:B79"/>
    <mergeCell ref="A60:B60"/>
    <mergeCell ref="A61:G61"/>
    <mergeCell ref="A73:B73"/>
    <mergeCell ref="A74:G74"/>
    <mergeCell ref="K63:K64"/>
    <mergeCell ref="H55:H56"/>
    <mergeCell ref="A52:B52"/>
    <mergeCell ref="A77:B77"/>
  </mergeCells>
  <printOptions horizontalCentered="1"/>
  <pageMargins left="0.62992125984251968" right="0.27559055118110237" top="0.74803149606299213" bottom="0.74803149606299213" header="0.31496062992125984" footer="0.31496062992125984"/>
  <pageSetup paperSize="9" scale="86" fitToWidth="0" fitToHeight="2" orientation="portrait" r:id="rId1"/>
  <rowBreaks count="1" manualBreakCount="1">
    <brk id="52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AA129"/>
  <sheetViews>
    <sheetView topLeftCell="A40" workbookViewId="0">
      <selection activeCell="B72" sqref="B72"/>
    </sheetView>
  </sheetViews>
  <sheetFormatPr defaultRowHeight="15" x14ac:dyDescent="0.25"/>
  <cols>
    <col min="1" max="1" width="5.42578125" customWidth="1"/>
    <col min="2" max="2" width="44.140625" customWidth="1"/>
    <col min="3" max="3" width="8" customWidth="1"/>
    <col min="4" max="4" width="16.7109375" customWidth="1"/>
    <col min="5" max="5" width="14.5703125" customWidth="1"/>
    <col min="6" max="6" width="14.7109375" customWidth="1"/>
    <col min="7" max="26" width="6.7109375" customWidth="1"/>
    <col min="27" max="27" width="7.7109375" customWidth="1"/>
  </cols>
  <sheetData>
    <row r="1" spans="2:27" ht="18.75" x14ac:dyDescent="0.3">
      <c r="B1" s="376" t="s">
        <v>326</v>
      </c>
      <c r="C1" s="376"/>
      <c r="D1" s="376"/>
      <c r="E1" s="376"/>
      <c r="F1" s="376"/>
      <c r="G1" s="376"/>
      <c r="H1" s="376"/>
      <c r="I1" s="376"/>
      <c r="J1" s="376"/>
      <c r="K1" s="376"/>
      <c r="L1" s="376"/>
      <c r="M1" s="376"/>
      <c r="N1" s="182"/>
      <c r="O1" s="183"/>
      <c r="P1" s="183"/>
      <c r="Q1" s="183"/>
      <c r="R1" s="183"/>
      <c r="S1" s="183"/>
      <c r="T1" s="183"/>
      <c r="U1" s="183"/>
      <c r="V1" s="183"/>
      <c r="W1" s="183"/>
      <c r="X1" s="183"/>
      <c r="Y1" s="183"/>
      <c r="Z1" s="183"/>
      <c r="AA1" s="184"/>
    </row>
    <row r="2" spans="2:27" x14ac:dyDescent="0.25">
      <c r="B2" s="183" t="s">
        <v>104</v>
      </c>
      <c r="C2" s="183"/>
      <c r="D2" s="183"/>
      <c r="E2" s="185"/>
      <c r="F2" s="183"/>
      <c r="G2" s="183"/>
      <c r="H2" s="183"/>
      <c r="I2" s="183"/>
      <c r="J2" s="183"/>
      <c r="K2" s="183"/>
      <c r="L2" s="183"/>
      <c r="M2" s="183"/>
      <c r="N2" s="182"/>
      <c r="O2" s="183"/>
      <c r="P2" s="183"/>
      <c r="Q2" s="183"/>
      <c r="R2" s="183"/>
      <c r="S2" s="183"/>
      <c r="T2" s="183"/>
      <c r="U2" s="183"/>
      <c r="V2" s="183"/>
      <c r="W2" s="183"/>
      <c r="X2" s="183"/>
      <c r="Y2" s="183"/>
      <c r="Z2" s="183"/>
      <c r="AA2" s="184"/>
    </row>
    <row r="3" spans="2:27" x14ac:dyDescent="0.25">
      <c r="B3" s="186">
        <v>42776</v>
      </c>
      <c r="C3" s="377" t="s">
        <v>327</v>
      </c>
      <c r="D3" s="378"/>
      <c r="E3" s="378"/>
      <c r="F3" s="378"/>
      <c r="G3" s="378"/>
      <c r="H3" s="378"/>
      <c r="I3" s="378"/>
      <c r="J3" s="378"/>
      <c r="K3" s="378"/>
      <c r="L3" s="378"/>
      <c r="M3" s="378"/>
      <c r="N3" s="378"/>
      <c r="O3" s="378"/>
      <c r="P3" s="378"/>
      <c r="Q3" s="378"/>
      <c r="R3" s="378"/>
      <c r="S3" s="378"/>
      <c r="T3" s="378"/>
      <c r="U3" s="378"/>
      <c r="V3" s="378"/>
      <c r="W3" s="378"/>
      <c r="X3" s="378"/>
      <c r="Y3" s="378"/>
      <c r="Z3" s="379"/>
      <c r="AA3" s="300"/>
    </row>
    <row r="4" spans="2:27" ht="26.25" thickBot="1" x14ac:dyDescent="0.3">
      <c r="B4" s="187" t="s">
        <v>328</v>
      </c>
      <c r="C4" s="188">
        <v>1</v>
      </c>
      <c r="D4" s="189">
        <v>2</v>
      </c>
      <c r="E4" s="189">
        <v>3</v>
      </c>
      <c r="F4" s="189">
        <v>4</v>
      </c>
      <c r="G4" s="189">
        <v>5</v>
      </c>
      <c r="H4" s="189">
        <v>6</v>
      </c>
      <c r="I4" s="189">
        <v>7</v>
      </c>
      <c r="J4" s="189">
        <v>8</v>
      </c>
      <c r="K4" s="189">
        <v>9</v>
      </c>
      <c r="L4" s="189">
        <v>10</v>
      </c>
      <c r="M4" s="189">
        <v>11</v>
      </c>
      <c r="N4" s="190">
        <v>12</v>
      </c>
      <c r="O4" s="189">
        <v>13</v>
      </c>
      <c r="P4" s="189">
        <v>14</v>
      </c>
      <c r="Q4" s="189">
        <v>15</v>
      </c>
      <c r="R4" s="189">
        <v>16</v>
      </c>
      <c r="S4" s="189">
        <v>17</v>
      </c>
      <c r="T4" s="191">
        <v>18</v>
      </c>
      <c r="U4" s="191">
        <v>19</v>
      </c>
      <c r="V4" s="191">
        <v>20</v>
      </c>
      <c r="W4" s="191">
        <v>21</v>
      </c>
      <c r="X4" s="191">
        <v>22</v>
      </c>
      <c r="Y4" s="191">
        <v>23</v>
      </c>
      <c r="Z4" s="191">
        <v>24</v>
      </c>
      <c r="AA4" s="192" t="s">
        <v>329</v>
      </c>
    </row>
    <row r="5" spans="2:27" ht="15.75" thickBot="1" x14ac:dyDescent="0.3">
      <c r="B5" s="193" t="s">
        <v>330</v>
      </c>
      <c r="C5" s="194"/>
      <c r="D5" s="195"/>
      <c r="E5" s="195"/>
      <c r="F5" s="195"/>
      <c r="G5" s="195"/>
      <c r="H5" s="195"/>
      <c r="I5" s="195"/>
      <c r="J5" s="195"/>
      <c r="K5" s="195"/>
      <c r="L5" s="195"/>
      <c r="M5" s="195"/>
      <c r="N5" s="196"/>
      <c r="O5" s="195"/>
      <c r="P5" s="195"/>
      <c r="Q5" s="195"/>
      <c r="R5" s="195"/>
      <c r="S5" s="195"/>
      <c r="T5" s="195"/>
      <c r="U5" s="195"/>
      <c r="V5" s="195"/>
      <c r="W5" s="195"/>
      <c r="X5" s="195"/>
      <c r="Y5" s="195"/>
      <c r="Z5" s="197"/>
      <c r="AA5" s="301">
        <v>0</v>
      </c>
    </row>
    <row r="6" spans="2:27" x14ac:dyDescent="0.25">
      <c r="B6" s="198" t="s">
        <v>331</v>
      </c>
      <c r="C6" s="199"/>
      <c r="D6" s="200"/>
      <c r="E6" s="200"/>
      <c r="F6" s="200"/>
      <c r="G6" s="200"/>
      <c r="H6" s="200"/>
      <c r="I6" s="200"/>
      <c r="J6" s="200"/>
      <c r="K6" s="200"/>
      <c r="L6" s="200"/>
      <c r="M6" s="200"/>
      <c r="N6" s="201"/>
      <c r="O6" s="200"/>
      <c r="P6" s="200"/>
      <c r="Q6" s="200"/>
      <c r="R6" s="200"/>
      <c r="S6" s="200"/>
      <c r="T6" s="200"/>
      <c r="U6" s="200"/>
      <c r="V6" s="200"/>
      <c r="W6" s="200"/>
      <c r="X6" s="200"/>
      <c r="Y6" s="200"/>
      <c r="Z6" s="202"/>
      <c r="AA6" s="302">
        <v>0</v>
      </c>
    </row>
    <row r="7" spans="2:27" x14ac:dyDescent="0.25">
      <c r="B7" s="203" t="s">
        <v>332</v>
      </c>
      <c r="C7" s="204"/>
      <c r="D7" s="205"/>
      <c r="E7" s="205"/>
      <c r="F7" s="205"/>
      <c r="G7" s="206"/>
      <c r="H7" s="206"/>
      <c r="I7" s="206"/>
      <c r="J7" s="206"/>
      <c r="K7" s="206"/>
      <c r="L7" s="206"/>
      <c r="M7" s="206"/>
      <c r="N7" s="207"/>
      <c r="O7" s="205"/>
      <c r="P7" s="205"/>
      <c r="Q7" s="205"/>
      <c r="R7" s="205"/>
      <c r="S7" s="205"/>
      <c r="T7" s="205"/>
      <c r="U7" s="205"/>
      <c r="V7" s="205"/>
      <c r="W7" s="205"/>
      <c r="X7" s="205"/>
      <c r="Y7" s="205"/>
      <c r="Z7" s="208"/>
      <c r="AA7" s="303">
        <v>0</v>
      </c>
    </row>
    <row r="8" spans="2:27" ht="15.75" thickBot="1" x14ac:dyDescent="0.3">
      <c r="B8" s="209" t="s">
        <v>333</v>
      </c>
      <c r="C8" s="210"/>
      <c r="D8" s="211"/>
      <c r="E8" s="211"/>
      <c r="F8" s="211"/>
      <c r="G8" s="212"/>
      <c r="H8" s="212"/>
      <c r="I8" s="212"/>
      <c r="J8" s="212"/>
      <c r="K8" s="212"/>
      <c r="L8" s="212"/>
      <c r="M8" s="212"/>
      <c r="N8" s="213"/>
      <c r="O8" s="211"/>
      <c r="P8" s="211"/>
      <c r="Q8" s="211"/>
      <c r="R8" s="211"/>
      <c r="S8" s="211"/>
      <c r="T8" s="211"/>
      <c r="U8" s="211"/>
      <c r="V8" s="211"/>
      <c r="W8" s="211"/>
      <c r="X8" s="211"/>
      <c r="Y8" s="211"/>
      <c r="Z8" s="214"/>
      <c r="AA8" s="304">
        <v>0</v>
      </c>
    </row>
    <row r="9" spans="2:27" ht="15.75" thickBot="1" x14ac:dyDescent="0.3">
      <c r="B9" s="193" t="s">
        <v>334</v>
      </c>
      <c r="C9" s="215"/>
      <c r="D9" s="216"/>
      <c r="E9" s="216"/>
      <c r="F9" s="216"/>
      <c r="G9" s="216"/>
      <c r="H9" s="216"/>
      <c r="I9" s="216"/>
      <c r="J9" s="216"/>
      <c r="K9" s="216"/>
      <c r="L9" s="216"/>
      <c r="M9" s="216"/>
      <c r="N9" s="196"/>
      <c r="O9" s="195"/>
      <c r="P9" s="195"/>
      <c r="Q9" s="195"/>
      <c r="R9" s="195"/>
      <c r="S9" s="195"/>
      <c r="T9" s="195"/>
      <c r="U9" s="195"/>
      <c r="V9" s="195"/>
      <c r="W9" s="195"/>
      <c r="X9" s="195"/>
      <c r="Y9" s="195"/>
      <c r="Z9" s="197"/>
      <c r="AA9" s="301">
        <v>0</v>
      </c>
    </row>
    <row r="10" spans="2:27" x14ac:dyDescent="0.25">
      <c r="B10" s="217" t="s">
        <v>335</v>
      </c>
      <c r="C10" s="218"/>
      <c r="D10" s="219"/>
      <c r="E10" s="219"/>
      <c r="F10" s="219"/>
      <c r="G10" s="220"/>
      <c r="H10" s="220"/>
      <c r="I10" s="220"/>
      <c r="J10" s="219"/>
      <c r="K10" s="219"/>
      <c r="L10" s="219"/>
      <c r="M10" s="219"/>
      <c r="N10" s="221"/>
      <c r="O10" s="219"/>
      <c r="P10" s="219"/>
      <c r="Q10" s="219"/>
      <c r="R10" s="219"/>
      <c r="S10" s="219"/>
      <c r="T10" s="219"/>
      <c r="U10" s="219"/>
      <c r="V10" s="219"/>
      <c r="W10" s="219"/>
      <c r="X10" s="219"/>
      <c r="Y10" s="219"/>
      <c r="Z10" s="222"/>
      <c r="AA10" s="303">
        <v>0</v>
      </c>
    </row>
    <row r="11" spans="2:27" x14ac:dyDescent="0.25">
      <c r="B11" s="198" t="s">
        <v>336</v>
      </c>
      <c r="C11" s="204"/>
      <c r="D11" s="205"/>
      <c r="E11" s="205"/>
      <c r="F11" s="223"/>
      <c r="G11" s="223"/>
      <c r="H11" s="223"/>
      <c r="I11" s="205"/>
      <c r="J11" s="205"/>
      <c r="K11" s="205"/>
      <c r="L11" s="205"/>
      <c r="M11" s="205"/>
      <c r="N11" s="207"/>
      <c r="O11" s="205"/>
      <c r="P11" s="205"/>
      <c r="Q11" s="205"/>
      <c r="R11" s="205"/>
      <c r="S11" s="205"/>
      <c r="T11" s="205"/>
      <c r="U11" s="205"/>
      <c r="V11" s="205"/>
      <c r="W11" s="205"/>
      <c r="X11" s="205"/>
      <c r="Y11" s="205"/>
      <c r="Z11" s="224"/>
      <c r="AA11" s="303">
        <v>0</v>
      </c>
    </row>
    <row r="12" spans="2:27" x14ac:dyDescent="0.25">
      <c r="B12" s="203" t="s">
        <v>337</v>
      </c>
      <c r="C12" s="204"/>
      <c r="D12" s="205"/>
      <c r="E12" s="205"/>
      <c r="F12" s="223"/>
      <c r="G12" s="223"/>
      <c r="H12" s="223"/>
      <c r="I12" s="206"/>
      <c r="J12" s="206"/>
      <c r="K12" s="206"/>
      <c r="L12" s="206"/>
      <c r="M12" s="206"/>
      <c r="N12" s="207"/>
      <c r="O12" s="205"/>
      <c r="P12" s="205"/>
      <c r="Q12" s="205"/>
      <c r="R12" s="205"/>
      <c r="S12" s="205"/>
      <c r="T12" s="205"/>
      <c r="U12" s="205"/>
      <c r="V12" s="205"/>
      <c r="W12" s="205"/>
      <c r="X12" s="205"/>
      <c r="Y12" s="205"/>
      <c r="Z12" s="208"/>
      <c r="AA12" s="303">
        <v>0</v>
      </c>
    </row>
    <row r="13" spans="2:27" ht="15.75" thickBot="1" x14ac:dyDescent="0.3">
      <c r="B13" s="209" t="s">
        <v>338</v>
      </c>
      <c r="C13" s="210"/>
      <c r="D13" s="211"/>
      <c r="E13" s="211"/>
      <c r="F13" s="223"/>
      <c r="G13" s="223"/>
      <c r="H13" s="223"/>
      <c r="I13" s="212"/>
      <c r="J13" s="212"/>
      <c r="K13" s="212"/>
      <c r="L13" s="212"/>
      <c r="M13" s="212"/>
      <c r="N13" s="213"/>
      <c r="O13" s="211"/>
      <c r="P13" s="211"/>
      <c r="Q13" s="211"/>
      <c r="R13" s="211"/>
      <c r="S13" s="211"/>
      <c r="T13" s="211"/>
      <c r="U13" s="211"/>
      <c r="V13" s="211"/>
      <c r="W13" s="211"/>
      <c r="X13" s="211"/>
      <c r="Y13" s="211"/>
      <c r="Z13" s="214"/>
      <c r="AA13" s="303">
        <v>0</v>
      </c>
    </row>
    <row r="14" spans="2:27" ht="15.75" thickBot="1" x14ac:dyDescent="0.3">
      <c r="B14" s="193" t="s">
        <v>339</v>
      </c>
      <c r="C14" s="194"/>
      <c r="D14" s="195"/>
      <c r="E14" s="195"/>
      <c r="F14" s="195"/>
      <c r="G14" s="195"/>
      <c r="H14" s="195"/>
      <c r="I14" s="195"/>
      <c r="J14" s="195"/>
      <c r="K14" s="195"/>
      <c r="L14" s="195"/>
      <c r="M14" s="195"/>
      <c r="N14" s="196"/>
      <c r="O14" s="195"/>
      <c r="P14" s="195"/>
      <c r="Q14" s="195"/>
      <c r="R14" s="195"/>
      <c r="S14" s="195"/>
      <c r="T14" s="195"/>
      <c r="U14" s="195"/>
      <c r="V14" s="195"/>
      <c r="W14" s="195"/>
      <c r="X14" s="195"/>
      <c r="Y14" s="195"/>
      <c r="Z14" s="197"/>
      <c r="AA14" s="301">
        <v>0</v>
      </c>
    </row>
    <row r="15" spans="2:27" x14ac:dyDescent="0.25">
      <c r="B15" s="217" t="s">
        <v>340</v>
      </c>
      <c r="C15" s="199"/>
      <c r="D15" s="200"/>
      <c r="E15" s="200"/>
      <c r="F15" s="200"/>
      <c r="G15" s="200"/>
      <c r="H15" s="200"/>
      <c r="I15" s="200"/>
      <c r="J15" s="200"/>
      <c r="K15" s="200"/>
      <c r="L15" s="200"/>
      <c r="M15" s="200"/>
      <c r="N15" s="201"/>
      <c r="O15" s="200"/>
      <c r="P15" s="200"/>
      <c r="Q15" s="200"/>
      <c r="R15" s="200"/>
      <c r="S15" s="200"/>
      <c r="T15" s="200"/>
      <c r="U15" s="200"/>
      <c r="V15" s="200"/>
      <c r="W15" s="200"/>
      <c r="X15" s="200"/>
      <c r="Y15" s="200"/>
      <c r="Z15" s="202"/>
      <c r="AA15" s="305">
        <f>SUM(C15:Z15)</f>
        <v>0</v>
      </c>
    </row>
    <row r="16" spans="2:27" x14ac:dyDescent="0.25">
      <c r="B16" s="225" t="s">
        <v>341</v>
      </c>
      <c r="C16" s="226">
        <f>'DEVIZ GENERAL'!F30/1000</f>
        <v>2.9750000000000001</v>
      </c>
      <c r="D16" s="200"/>
      <c r="E16" s="200"/>
      <c r="F16" s="200"/>
      <c r="G16" s="200"/>
      <c r="H16" s="200"/>
      <c r="I16" s="200"/>
      <c r="J16" s="200"/>
      <c r="K16" s="200"/>
      <c r="L16" s="200"/>
      <c r="M16" s="200"/>
      <c r="N16" s="201"/>
      <c r="O16" s="200"/>
      <c r="P16" s="200"/>
      <c r="Q16" s="200"/>
      <c r="R16" s="200"/>
      <c r="S16" s="200"/>
      <c r="T16" s="200"/>
      <c r="U16" s="200"/>
      <c r="V16" s="200"/>
      <c r="W16" s="200"/>
      <c r="X16" s="200"/>
      <c r="Y16" s="200"/>
      <c r="Z16" s="202"/>
      <c r="AA16" s="305">
        <f t="shared" ref="AA16:AA23" si="0">SUM(C16:Z16)</f>
        <v>2.9750000000000001</v>
      </c>
    </row>
    <row r="17" spans="2:27" ht="25.5" x14ac:dyDescent="0.25">
      <c r="B17" s="225" t="s">
        <v>342</v>
      </c>
      <c r="C17" s="204"/>
      <c r="D17" s="205"/>
      <c r="E17" s="205"/>
      <c r="F17" s="227">
        <f>'DEVIZ GENERAL'!F33/1000</f>
        <v>176.53649999999999</v>
      </c>
      <c r="G17" s="205"/>
      <c r="H17" s="205"/>
      <c r="I17" s="205"/>
      <c r="J17" s="205"/>
      <c r="K17" s="205"/>
      <c r="L17" s="205"/>
      <c r="M17" s="205"/>
      <c r="N17" s="207"/>
      <c r="O17" s="205"/>
      <c r="P17" s="205"/>
      <c r="Q17" s="205"/>
      <c r="R17" s="205"/>
      <c r="S17" s="205"/>
      <c r="T17" s="205"/>
      <c r="U17" s="205"/>
      <c r="V17" s="205"/>
      <c r="W17" s="205"/>
      <c r="X17" s="205"/>
      <c r="Y17" s="205"/>
      <c r="Z17" s="208"/>
      <c r="AA17" s="305">
        <f t="shared" si="0"/>
        <v>176.53649999999999</v>
      </c>
    </row>
    <row r="18" spans="2:27" x14ac:dyDescent="0.25">
      <c r="B18" s="225" t="s">
        <v>343</v>
      </c>
      <c r="C18" s="226">
        <f>'DEVIZ GENERAL'!F34/1000</f>
        <v>0</v>
      </c>
      <c r="D18" s="223"/>
      <c r="E18" s="223"/>
      <c r="F18" s="205"/>
      <c r="G18" s="205"/>
      <c r="H18" s="205"/>
      <c r="I18" s="205"/>
      <c r="J18" s="205"/>
      <c r="K18" s="205"/>
      <c r="L18" s="205"/>
      <c r="M18" s="205"/>
      <c r="N18" s="207"/>
      <c r="O18" s="205"/>
      <c r="P18" s="205"/>
      <c r="Q18" s="205"/>
      <c r="R18" s="205"/>
      <c r="S18" s="205"/>
      <c r="T18" s="205"/>
      <c r="U18" s="205"/>
      <c r="V18" s="205"/>
      <c r="W18" s="205"/>
      <c r="X18" s="205"/>
      <c r="Y18" s="205"/>
      <c r="Z18" s="208"/>
      <c r="AA18" s="305">
        <f t="shared" si="0"/>
        <v>0</v>
      </c>
    </row>
    <row r="19" spans="2:27" x14ac:dyDescent="0.25">
      <c r="B19" s="225" t="s">
        <v>344</v>
      </c>
      <c r="C19" s="226">
        <f>'DEVIZ GENERAL'!F35/1000</f>
        <v>0</v>
      </c>
      <c r="D19" s="223"/>
      <c r="E19" s="223"/>
      <c r="F19" s="205"/>
      <c r="G19" s="205"/>
      <c r="H19" s="205"/>
      <c r="I19" s="205"/>
      <c r="J19" s="205"/>
      <c r="K19" s="205"/>
      <c r="L19" s="205"/>
      <c r="M19" s="205"/>
      <c r="N19" s="207"/>
      <c r="O19" s="205"/>
      <c r="P19" s="205"/>
      <c r="Q19" s="205"/>
      <c r="R19" s="205"/>
      <c r="S19" s="205"/>
      <c r="T19" s="205"/>
      <c r="U19" s="205"/>
      <c r="V19" s="205"/>
      <c r="W19" s="205"/>
      <c r="X19" s="205"/>
      <c r="Y19" s="205"/>
      <c r="Z19" s="208"/>
      <c r="AA19" s="305">
        <f t="shared" si="0"/>
        <v>0</v>
      </c>
    </row>
    <row r="20" spans="2:27" x14ac:dyDescent="0.25">
      <c r="B20" s="225" t="s">
        <v>25</v>
      </c>
      <c r="C20" s="228"/>
      <c r="D20" s="227">
        <f>'DEVIZ GENERAL'!F36/1000/4</f>
        <v>131.79249999999999</v>
      </c>
      <c r="E20" s="227">
        <f>D20</f>
        <v>131.79249999999999</v>
      </c>
      <c r="F20" s="227">
        <f t="shared" ref="F20:G20" si="1">E20</f>
        <v>131.79249999999999</v>
      </c>
      <c r="G20" s="227">
        <f t="shared" si="1"/>
        <v>131.79249999999999</v>
      </c>
      <c r="H20" s="223"/>
      <c r="I20" s="223"/>
      <c r="J20" s="223"/>
      <c r="K20" s="223"/>
      <c r="L20" s="223"/>
      <c r="M20" s="223"/>
      <c r="N20" s="207"/>
      <c r="O20" s="223"/>
      <c r="P20" s="223"/>
      <c r="Q20" s="223"/>
      <c r="R20" s="223"/>
      <c r="S20" s="223"/>
      <c r="T20" s="223"/>
      <c r="U20" s="223"/>
      <c r="V20" s="223"/>
      <c r="W20" s="223"/>
      <c r="X20" s="223"/>
      <c r="Y20" s="223"/>
      <c r="Z20" s="208"/>
      <c r="AA20" s="305">
        <f t="shared" si="0"/>
        <v>527.16999999999996</v>
      </c>
    </row>
    <row r="21" spans="2:27" x14ac:dyDescent="0.25">
      <c r="B21" s="225" t="s">
        <v>345</v>
      </c>
      <c r="C21" s="229"/>
      <c r="D21" s="230"/>
      <c r="E21" s="230"/>
      <c r="F21" s="230"/>
      <c r="G21" s="227">
        <f>'DEVIZ GENERAL'!F43</f>
        <v>0</v>
      </c>
      <c r="H21" s="230"/>
      <c r="I21" s="230"/>
      <c r="J21" s="230"/>
      <c r="K21" s="230"/>
      <c r="L21" s="230"/>
      <c r="M21" s="230"/>
      <c r="N21" s="213"/>
      <c r="O21" s="230"/>
      <c r="P21" s="230"/>
      <c r="Q21" s="230"/>
      <c r="R21" s="230"/>
      <c r="S21" s="230"/>
      <c r="T21" s="230"/>
      <c r="U21" s="230"/>
      <c r="V21" s="230"/>
      <c r="W21" s="230"/>
      <c r="X21" s="230"/>
      <c r="Y21" s="230"/>
      <c r="Z21" s="208"/>
      <c r="AA21" s="305">
        <f t="shared" si="0"/>
        <v>0</v>
      </c>
    </row>
    <row r="22" spans="2:27" x14ac:dyDescent="0.25">
      <c r="B22" s="225" t="s">
        <v>346</v>
      </c>
      <c r="C22" s="229"/>
      <c r="D22" s="230"/>
      <c r="E22" s="230"/>
      <c r="F22" s="227">
        <f>'DEVIZ GENERAL'!F44/1000/2</f>
        <v>8.9250000000000007</v>
      </c>
      <c r="G22" s="227">
        <f>F22</f>
        <v>8.9250000000000007</v>
      </c>
      <c r="H22" s="230"/>
      <c r="I22" s="230"/>
      <c r="J22" s="230"/>
      <c r="K22" s="230"/>
      <c r="L22" s="230"/>
      <c r="M22" s="230"/>
      <c r="N22" s="213"/>
      <c r="O22" s="230"/>
      <c r="P22" s="230"/>
      <c r="Q22" s="230"/>
      <c r="R22" s="230"/>
      <c r="S22" s="230"/>
      <c r="T22" s="230"/>
      <c r="U22" s="230"/>
      <c r="V22" s="230"/>
      <c r="W22" s="230"/>
      <c r="X22" s="230"/>
      <c r="Y22" s="230"/>
      <c r="Z22" s="208"/>
      <c r="AA22" s="305">
        <f t="shared" si="0"/>
        <v>17.850000000000001</v>
      </c>
    </row>
    <row r="23" spans="2:27" ht="15.75" thickBot="1" x14ac:dyDescent="0.3">
      <c r="B23" s="231" t="s">
        <v>29</v>
      </c>
      <c r="C23" s="210"/>
      <c r="D23" s="211"/>
      <c r="E23" s="211"/>
      <c r="F23" s="211"/>
      <c r="G23" s="232">
        <f>'DEVIZ GENERAL'!F47/20/1000</f>
        <v>20.824999999999999</v>
      </c>
      <c r="H23" s="232">
        <f>G23</f>
        <v>20.824999999999999</v>
      </c>
      <c r="I23" s="232">
        <f t="shared" ref="I23:Z23" si="2">H23</f>
        <v>20.824999999999999</v>
      </c>
      <c r="J23" s="232">
        <f t="shared" si="2"/>
        <v>20.824999999999999</v>
      </c>
      <c r="K23" s="232">
        <f t="shared" si="2"/>
        <v>20.824999999999999</v>
      </c>
      <c r="L23" s="232">
        <f t="shared" si="2"/>
        <v>20.824999999999999</v>
      </c>
      <c r="M23" s="232">
        <f t="shared" si="2"/>
        <v>20.824999999999999</v>
      </c>
      <c r="N23" s="232">
        <f t="shared" si="2"/>
        <v>20.824999999999999</v>
      </c>
      <c r="O23" s="232">
        <f t="shared" si="2"/>
        <v>20.824999999999999</v>
      </c>
      <c r="P23" s="232">
        <f t="shared" si="2"/>
        <v>20.824999999999999</v>
      </c>
      <c r="Q23" s="232">
        <f t="shared" si="2"/>
        <v>20.824999999999999</v>
      </c>
      <c r="R23" s="232">
        <f t="shared" si="2"/>
        <v>20.824999999999999</v>
      </c>
      <c r="S23" s="232">
        <f t="shared" si="2"/>
        <v>20.824999999999999</v>
      </c>
      <c r="T23" s="232">
        <f t="shared" si="2"/>
        <v>20.824999999999999</v>
      </c>
      <c r="U23" s="232">
        <f t="shared" si="2"/>
        <v>20.824999999999999</v>
      </c>
      <c r="V23" s="232">
        <f t="shared" si="2"/>
        <v>20.824999999999999</v>
      </c>
      <c r="W23" s="232">
        <f t="shared" si="2"/>
        <v>20.824999999999999</v>
      </c>
      <c r="X23" s="232">
        <f t="shared" si="2"/>
        <v>20.824999999999999</v>
      </c>
      <c r="Y23" s="232">
        <f t="shared" si="2"/>
        <v>20.824999999999999</v>
      </c>
      <c r="Z23" s="232">
        <f t="shared" si="2"/>
        <v>20.824999999999999</v>
      </c>
      <c r="AA23" s="305">
        <f t="shared" si="0"/>
        <v>416.49999999999989</v>
      </c>
    </row>
    <row r="24" spans="2:27" ht="15.75" thickBot="1" x14ac:dyDescent="0.3">
      <c r="B24" s="193" t="s">
        <v>347</v>
      </c>
      <c r="C24" s="194"/>
      <c r="D24" s="195"/>
      <c r="E24" s="195"/>
      <c r="F24" s="195"/>
      <c r="G24" s="195"/>
      <c r="H24" s="195"/>
      <c r="I24" s="195"/>
      <c r="J24" s="195"/>
      <c r="K24" s="195"/>
      <c r="L24" s="195"/>
      <c r="M24" s="195"/>
      <c r="N24" s="196"/>
      <c r="O24" s="195"/>
      <c r="P24" s="195"/>
      <c r="Q24" s="195"/>
      <c r="R24" s="195"/>
      <c r="S24" s="195"/>
      <c r="T24" s="195"/>
      <c r="U24" s="195"/>
      <c r="V24" s="195"/>
      <c r="W24" s="195"/>
      <c r="X24" s="195"/>
      <c r="Y24" s="195"/>
      <c r="Z24" s="197"/>
      <c r="AA24" s="301">
        <v>0</v>
      </c>
    </row>
    <row r="25" spans="2:27" x14ac:dyDescent="0.25">
      <c r="B25" s="233" t="s">
        <v>348</v>
      </c>
      <c r="C25" s="199"/>
      <c r="D25" s="200"/>
      <c r="E25" s="200"/>
      <c r="F25" s="200"/>
      <c r="G25" s="200"/>
      <c r="H25" s="200"/>
      <c r="I25" s="200"/>
      <c r="J25" s="200"/>
      <c r="K25" s="200"/>
      <c r="L25" s="200"/>
      <c r="M25" s="200"/>
      <c r="N25" s="201"/>
      <c r="O25" s="200"/>
      <c r="P25" s="200"/>
      <c r="Q25" s="200"/>
      <c r="R25" s="200"/>
      <c r="S25" s="200"/>
      <c r="T25" s="200"/>
      <c r="U25" s="200"/>
      <c r="V25" s="200"/>
      <c r="W25" s="200"/>
      <c r="X25" s="200"/>
      <c r="Y25" s="200"/>
      <c r="Z25" s="202"/>
      <c r="AA25" s="302">
        <v>0</v>
      </c>
    </row>
    <row r="26" spans="2:27" x14ac:dyDescent="0.25">
      <c r="B26" s="234" t="s">
        <v>349</v>
      </c>
      <c r="C26" s="204"/>
      <c r="D26" s="205"/>
      <c r="E26" s="205"/>
      <c r="F26" s="205"/>
      <c r="G26" s="227">
        <f>'DEVIZ GENERAL'!F54/1000/20</f>
        <v>1710.7497387750002</v>
      </c>
      <c r="H26" s="227">
        <f>G26</f>
        <v>1710.7497387750002</v>
      </c>
      <c r="I26" s="227">
        <f t="shared" ref="I26:Z26" si="3">H26</f>
        <v>1710.7497387750002</v>
      </c>
      <c r="J26" s="227">
        <f t="shared" si="3"/>
        <v>1710.7497387750002</v>
      </c>
      <c r="K26" s="227">
        <f t="shared" si="3"/>
        <v>1710.7497387750002</v>
      </c>
      <c r="L26" s="227">
        <f t="shared" si="3"/>
        <v>1710.7497387750002</v>
      </c>
      <c r="M26" s="227">
        <f t="shared" si="3"/>
        <v>1710.7497387750002</v>
      </c>
      <c r="N26" s="227">
        <f t="shared" si="3"/>
        <v>1710.7497387750002</v>
      </c>
      <c r="O26" s="227">
        <f t="shared" si="3"/>
        <v>1710.7497387750002</v>
      </c>
      <c r="P26" s="227">
        <f t="shared" si="3"/>
        <v>1710.7497387750002</v>
      </c>
      <c r="Q26" s="227">
        <f t="shared" si="3"/>
        <v>1710.7497387750002</v>
      </c>
      <c r="R26" s="227">
        <f t="shared" si="3"/>
        <v>1710.7497387750002</v>
      </c>
      <c r="S26" s="227">
        <f t="shared" si="3"/>
        <v>1710.7497387750002</v>
      </c>
      <c r="T26" s="227">
        <f t="shared" si="3"/>
        <v>1710.7497387750002</v>
      </c>
      <c r="U26" s="227">
        <f t="shared" si="3"/>
        <v>1710.7497387750002</v>
      </c>
      <c r="V26" s="227">
        <f t="shared" si="3"/>
        <v>1710.7497387750002</v>
      </c>
      <c r="W26" s="227">
        <f t="shared" si="3"/>
        <v>1710.7497387750002</v>
      </c>
      <c r="X26" s="227">
        <f t="shared" si="3"/>
        <v>1710.7497387750002</v>
      </c>
      <c r="Y26" s="227">
        <f t="shared" si="3"/>
        <v>1710.7497387750002</v>
      </c>
      <c r="Z26" s="227">
        <f t="shared" si="3"/>
        <v>1710.7497387750002</v>
      </c>
      <c r="AA26" s="305">
        <f>SUM(C26:Z26)</f>
        <v>34214.99477550001</v>
      </c>
    </row>
    <row r="27" spans="2:27" x14ac:dyDescent="0.25">
      <c r="B27" s="234" t="s">
        <v>350</v>
      </c>
      <c r="C27" s="204"/>
      <c r="D27" s="205"/>
      <c r="E27" s="205"/>
      <c r="F27" s="205"/>
      <c r="G27" s="205"/>
      <c r="H27" s="205"/>
      <c r="I27" s="205"/>
      <c r="J27" s="205"/>
      <c r="K27" s="205"/>
      <c r="L27" s="205"/>
      <c r="M27" s="205"/>
      <c r="N27" s="207"/>
      <c r="O27" s="205"/>
      <c r="P27" s="205"/>
      <c r="Q27" s="223"/>
      <c r="R27" s="223"/>
      <c r="S27" s="223"/>
      <c r="T27" s="223"/>
      <c r="U27" s="227">
        <f>'DEVIZ GENERAL'!F55/4/1000</f>
        <v>10.71</v>
      </c>
      <c r="V27" s="227">
        <f>U27</f>
        <v>10.71</v>
      </c>
      <c r="W27" s="227">
        <f t="shared" ref="W27:X27" si="4">V27</f>
        <v>10.71</v>
      </c>
      <c r="X27" s="227">
        <f t="shared" si="4"/>
        <v>10.71</v>
      </c>
      <c r="Y27" s="223"/>
      <c r="Z27" s="223"/>
      <c r="AA27" s="305">
        <f>SUM(C27:Z27)</f>
        <v>42.84</v>
      </c>
    </row>
    <row r="28" spans="2:27" x14ac:dyDescent="0.25">
      <c r="B28" s="234" t="s">
        <v>351</v>
      </c>
      <c r="C28" s="204"/>
      <c r="D28" s="205"/>
      <c r="E28" s="205"/>
      <c r="F28" s="205"/>
      <c r="G28" s="205"/>
      <c r="H28" s="205"/>
      <c r="I28" s="205"/>
      <c r="J28" s="205"/>
      <c r="K28" s="205"/>
      <c r="L28" s="205"/>
      <c r="M28" s="205"/>
      <c r="N28" s="207"/>
      <c r="P28" s="205"/>
      <c r="Q28" s="227">
        <f>'DEVIZ GENERAL'!F56/1000/5</f>
        <v>78.736350000000002</v>
      </c>
      <c r="R28" s="227">
        <f>Q28</f>
        <v>78.736350000000002</v>
      </c>
      <c r="S28" s="227">
        <f t="shared" ref="S28:U28" si="5">R28</f>
        <v>78.736350000000002</v>
      </c>
      <c r="T28" s="227">
        <f t="shared" si="5"/>
        <v>78.736350000000002</v>
      </c>
      <c r="U28" s="227">
        <f t="shared" si="5"/>
        <v>78.736350000000002</v>
      </c>
      <c r="V28" s="223"/>
      <c r="W28" s="223"/>
      <c r="X28" s="223"/>
      <c r="Y28" s="223"/>
      <c r="Z28" s="223"/>
      <c r="AA28" s="305">
        <f>SUM(C28:Z28)</f>
        <v>393.68175000000002</v>
      </c>
    </row>
    <row r="29" spans="2:27" x14ac:dyDescent="0.25">
      <c r="B29" s="234" t="s">
        <v>352</v>
      </c>
      <c r="C29" s="204"/>
      <c r="D29" s="205"/>
      <c r="E29" s="205"/>
      <c r="F29" s="205"/>
      <c r="G29" s="205"/>
      <c r="H29" s="205"/>
      <c r="I29" s="205"/>
      <c r="J29" s="205"/>
      <c r="K29" s="205"/>
      <c r="L29" s="205"/>
      <c r="M29" s="205"/>
      <c r="N29" s="207"/>
      <c r="O29" s="205"/>
      <c r="P29" s="205"/>
      <c r="Q29" s="205"/>
      <c r="R29" s="205"/>
      <c r="S29" s="205"/>
      <c r="T29" s="223"/>
      <c r="U29" s="223"/>
      <c r="V29" s="227">
        <f>'DEVIZ GENERAL'!F57/1000/4</f>
        <v>0</v>
      </c>
      <c r="W29" s="227">
        <f>V29</f>
        <v>0</v>
      </c>
      <c r="X29" s="227">
        <f t="shared" ref="X29:Y29" si="6">W29</f>
        <v>0</v>
      </c>
      <c r="Y29" s="227">
        <f t="shared" si="6"/>
        <v>0</v>
      </c>
      <c r="Z29" s="235"/>
      <c r="AA29" s="305">
        <f>SUM(C29:Z29)</f>
        <v>0</v>
      </c>
    </row>
    <row r="30" spans="2:27" x14ac:dyDescent="0.25">
      <c r="B30" s="236" t="s">
        <v>353</v>
      </c>
      <c r="C30" s="210"/>
      <c r="D30" s="211"/>
      <c r="E30" s="211"/>
      <c r="F30" s="211"/>
      <c r="G30" s="211"/>
      <c r="H30" s="211"/>
      <c r="I30" s="211"/>
      <c r="J30" s="211"/>
      <c r="K30" s="211"/>
      <c r="L30" s="211"/>
      <c r="M30" s="211"/>
      <c r="N30" s="213"/>
      <c r="O30" s="211"/>
      <c r="P30" s="211"/>
      <c r="Q30" s="211"/>
      <c r="R30" s="211"/>
      <c r="S30" s="230"/>
      <c r="T30" s="230"/>
      <c r="U30" s="230"/>
      <c r="V30" s="230"/>
      <c r="W30" s="230"/>
      <c r="X30" s="227">
        <f>'DEVIZ GENERAL'!F58/2/1000</f>
        <v>0</v>
      </c>
      <c r="Y30" s="227">
        <f>X30</f>
        <v>0</v>
      </c>
      <c r="Z30" s="235"/>
      <c r="AA30" s="305">
        <f>SUM(C30:Z30)</f>
        <v>0</v>
      </c>
    </row>
    <row r="31" spans="2:27" ht="15.75" thickBot="1" x14ac:dyDescent="0.3">
      <c r="B31" s="236" t="s">
        <v>354</v>
      </c>
      <c r="C31" s="210"/>
      <c r="D31" s="211"/>
      <c r="E31" s="211"/>
      <c r="F31" s="211"/>
      <c r="G31" s="211"/>
      <c r="H31" s="211"/>
      <c r="I31" s="211"/>
      <c r="J31" s="211"/>
      <c r="K31" s="211"/>
      <c r="L31" s="211"/>
      <c r="M31" s="211"/>
      <c r="N31" s="213"/>
      <c r="O31" s="211"/>
      <c r="P31" s="211"/>
      <c r="Q31" s="211"/>
      <c r="R31" s="211"/>
      <c r="S31" s="230"/>
      <c r="T31" s="230"/>
      <c r="U31" s="230"/>
      <c r="V31" s="230"/>
      <c r="W31" s="230"/>
      <c r="X31" s="230"/>
      <c r="Y31" s="230"/>
      <c r="Z31" s="230"/>
      <c r="AA31" s="304">
        <v>0</v>
      </c>
    </row>
    <row r="32" spans="2:27" ht="15.75" thickBot="1" x14ac:dyDescent="0.3">
      <c r="B32" s="193" t="s">
        <v>355</v>
      </c>
      <c r="C32" s="194"/>
      <c r="D32" s="195"/>
      <c r="E32" s="195"/>
      <c r="F32" s="195"/>
      <c r="G32" s="195"/>
      <c r="H32" s="195"/>
      <c r="I32" s="195"/>
      <c r="J32" s="195"/>
      <c r="K32" s="195"/>
      <c r="L32" s="195"/>
      <c r="M32" s="195"/>
      <c r="N32" s="196"/>
      <c r="O32" s="195"/>
      <c r="P32" s="195"/>
      <c r="Q32" s="195"/>
      <c r="R32" s="195"/>
      <c r="S32" s="195"/>
      <c r="T32" s="195"/>
      <c r="U32" s="195"/>
      <c r="V32" s="195"/>
      <c r="W32" s="195"/>
      <c r="X32" s="195"/>
      <c r="Y32" s="195"/>
      <c r="Z32" s="197"/>
      <c r="AA32" s="301">
        <v>0</v>
      </c>
    </row>
    <row r="33" spans="2:27" x14ac:dyDescent="0.25">
      <c r="B33" s="237" t="s">
        <v>356</v>
      </c>
      <c r="C33" s="199"/>
      <c r="D33" s="200"/>
      <c r="E33" s="227">
        <f>'DEVIZ GENERAL'!F62/1000/12</f>
        <v>72.143155000000007</v>
      </c>
      <c r="F33" s="227">
        <f>E33</f>
        <v>72.143155000000007</v>
      </c>
      <c r="G33" s="227">
        <f t="shared" ref="G33:P33" si="7">F33</f>
        <v>72.143155000000007</v>
      </c>
      <c r="H33" s="227">
        <f t="shared" si="7"/>
        <v>72.143155000000007</v>
      </c>
      <c r="I33" s="227">
        <f t="shared" si="7"/>
        <v>72.143155000000007</v>
      </c>
      <c r="J33" s="227">
        <f t="shared" si="7"/>
        <v>72.143155000000007</v>
      </c>
      <c r="K33" s="227">
        <f t="shared" si="7"/>
        <v>72.143155000000007</v>
      </c>
      <c r="L33" s="227">
        <f t="shared" si="7"/>
        <v>72.143155000000007</v>
      </c>
      <c r="M33" s="227">
        <f t="shared" si="7"/>
        <v>72.143155000000007</v>
      </c>
      <c r="N33" s="227">
        <f t="shared" si="7"/>
        <v>72.143155000000007</v>
      </c>
      <c r="O33" s="227">
        <f t="shared" si="7"/>
        <v>72.143155000000007</v>
      </c>
      <c r="P33" s="227">
        <f t="shared" si="7"/>
        <v>72.143155000000007</v>
      </c>
      <c r="Q33" s="205"/>
      <c r="R33" s="205"/>
      <c r="S33" s="205"/>
      <c r="T33" s="205"/>
      <c r="U33" s="205"/>
      <c r="V33" s="205"/>
      <c r="W33" s="205"/>
      <c r="X33" s="205"/>
      <c r="Y33" s="205"/>
      <c r="Z33" s="205"/>
      <c r="AA33" s="305">
        <f>SUM(C33:Z33)</f>
        <v>865.71785999999986</v>
      </c>
    </row>
    <row r="34" spans="2:27" x14ac:dyDescent="0.25">
      <c r="B34" s="237" t="s">
        <v>357</v>
      </c>
      <c r="C34" s="228"/>
      <c r="D34" s="223"/>
      <c r="E34" s="223"/>
      <c r="F34" s="223"/>
      <c r="G34" s="223"/>
      <c r="H34" s="223"/>
      <c r="I34" s="223"/>
      <c r="J34" s="223"/>
      <c r="K34" s="223"/>
      <c r="L34" s="223"/>
      <c r="M34" s="223"/>
      <c r="N34" s="207"/>
      <c r="O34" s="223"/>
      <c r="P34" s="223"/>
      <c r="Q34" s="223"/>
      <c r="R34" s="223"/>
      <c r="S34" s="223"/>
      <c r="T34" s="223"/>
      <c r="U34" s="223"/>
      <c r="V34" s="223"/>
      <c r="W34" s="223"/>
      <c r="X34" s="223"/>
      <c r="Y34" s="223"/>
      <c r="Z34" s="227">
        <f>'DEVIZ GENERAL'!F65/1000</f>
        <v>372.029</v>
      </c>
      <c r="AA34" s="305">
        <f>SUM(C34:Z34)</f>
        <v>372.029</v>
      </c>
    </row>
    <row r="35" spans="2:27" x14ac:dyDescent="0.25">
      <c r="B35" s="236" t="s">
        <v>358</v>
      </c>
      <c r="C35" s="238"/>
      <c r="D35" s="212"/>
      <c r="E35" s="212"/>
      <c r="F35" s="212"/>
      <c r="G35" s="227">
        <f>'DEVIZ GENERAL'!F71/1000/20</f>
        <v>175.09632766850001</v>
      </c>
      <c r="H35" s="227">
        <f>G35</f>
        <v>175.09632766850001</v>
      </c>
      <c r="I35" s="227">
        <f t="shared" ref="I35:Z35" si="8">H35</f>
        <v>175.09632766850001</v>
      </c>
      <c r="J35" s="227">
        <f t="shared" si="8"/>
        <v>175.09632766850001</v>
      </c>
      <c r="K35" s="227">
        <f t="shared" si="8"/>
        <v>175.09632766850001</v>
      </c>
      <c r="L35" s="227">
        <f t="shared" si="8"/>
        <v>175.09632766850001</v>
      </c>
      <c r="M35" s="227">
        <f t="shared" si="8"/>
        <v>175.09632766850001</v>
      </c>
      <c r="N35" s="227">
        <f t="shared" si="8"/>
        <v>175.09632766850001</v>
      </c>
      <c r="O35" s="227">
        <f t="shared" si="8"/>
        <v>175.09632766850001</v>
      </c>
      <c r="P35" s="227">
        <f t="shared" si="8"/>
        <v>175.09632766850001</v>
      </c>
      <c r="Q35" s="227">
        <f t="shared" si="8"/>
        <v>175.09632766850001</v>
      </c>
      <c r="R35" s="227">
        <f t="shared" si="8"/>
        <v>175.09632766850001</v>
      </c>
      <c r="S35" s="227">
        <f t="shared" si="8"/>
        <v>175.09632766850001</v>
      </c>
      <c r="T35" s="227">
        <f t="shared" si="8"/>
        <v>175.09632766850001</v>
      </c>
      <c r="U35" s="227">
        <f t="shared" si="8"/>
        <v>175.09632766850001</v>
      </c>
      <c r="V35" s="227">
        <f t="shared" si="8"/>
        <v>175.09632766850001</v>
      </c>
      <c r="W35" s="227">
        <f t="shared" si="8"/>
        <v>175.09632766850001</v>
      </c>
      <c r="X35" s="227">
        <f t="shared" si="8"/>
        <v>175.09632766850001</v>
      </c>
      <c r="Y35" s="227">
        <f t="shared" si="8"/>
        <v>175.09632766850001</v>
      </c>
      <c r="Z35" s="227">
        <f t="shared" si="8"/>
        <v>175.09632766850001</v>
      </c>
      <c r="AA35" s="305">
        <f>SUM(C35:Z35)</f>
        <v>3501.9265533700013</v>
      </c>
    </row>
    <row r="36" spans="2:27" ht="15.75" thickBot="1" x14ac:dyDescent="0.3">
      <c r="B36" s="236" t="s">
        <v>359</v>
      </c>
      <c r="C36" s="238"/>
      <c r="D36" s="232">
        <f>'DEVIZ GENERAL'!F72/1000/3</f>
        <v>7.0091000000000001</v>
      </c>
      <c r="E36" s="212"/>
      <c r="F36" s="212"/>
      <c r="G36" s="212"/>
      <c r="H36" s="212"/>
      <c r="I36" s="212"/>
      <c r="J36" s="212"/>
      <c r="K36" s="212"/>
      <c r="L36" s="212"/>
      <c r="M36" s="212"/>
      <c r="N36" s="232">
        <f>D36</f>
        <v>7.0091000000000001</v>
      </c>
      <c r="O36" s="211"/>
      <c r="P36" s="223"/>
      <c r="Q36" s="223"/>
      <c r="R36" s="223"/>
      <c r="S36" s="211"/>
      <c r="T36" s="211"/>
      <c r="U36" s="211"/>
      <c r="V36" s="211"/>
      <c r="W36" s="211"/>
      <c r="X36" s="211"/>
      <c r="Y36" s="211"/>
      <c r="Z36" s="232">
        <f>N36</f>
        <v>7.0091000000000001</v>
      </c>
      <c r="AA36" s="305">
        <f>SUM(C36:Z36)</f>
        <v>21.0273</v>
      </c>
    </row>
    <row r="37" spans="2:27" ht="15.75" thickBot="1" x14ac:dyDescent="0.3">
      <c r="B37" s="193" t="s">
        <v>360</v>
      </c>
      <c r="C37" s="194"/>
      <c r="D37" s="195"/>
      <c r="E37" s="195"/>
      <c r="F37" s="195"/>
      <c r="G37" s="195"/>
      <c r="H37" s="195"/>
      <c r="I37" s="195"/>
      <c r="J37" s="195"/>
      <c r="K37" s="195"/>
      <c r="L37" s="195"/>
      <c r="M37" s="195"/>
      <c r="N37" s="196"/>
      <c r="O37" s="195"/>
      <c r="P37" s="195"/>
      <c r="Q37" s="195"/>
      <c r="R37" s="195"/>
      <c r="S37" s="195"/>
      <c r="T37" s="195"/>
      <c r="U37" s="195"/>
      <c r="V37" s="195"/>
      <c r="W37" s="195"/>
      <c r="X37" s="195"/>
      <c r="Y37" s="195"/>
      <c r="Z37" s="197"/>
      <c r="AA37" s="301">
        <v>0</v>
      </c>
    </row>
    <row r="38" spans="2:27" x14ac:dyDescent="0.25">
      <c r="B38" s="237" t="s">
        <v>361</v>
      </c>
      <c r="C38" s="239"/>
      <c r="D38" s="240"/>
      <c r="E38" s="240"/>
      <c r="F38" s="240"/>
      <c r="G38" s="240"/>
      <c r="H38" s="240"/>
      <c r="I38" s="240"/>
      <c r="J38" s="240"/>
      <c r="K38" s="240"/>
      <c r="L38" s="240"/>
      <c r="M38" s="240"/>
      <c r="N38" s="201"/>
      <c r="O38" s="200"/>
      <c r="P38" s="200"/>
      <c r="Q38" s="200"/>
      <c r="R38" s="241"/>
      <c r="S38" s="241"/>
      <c r="T38" s="241"/>
      <c r="U38" s="241"/>
      <c r="V38" s="241"/>
      <c r="W38" s="241"/>
      <c r="X38" s="241"/>
      <c r="Y38" s="241"/>
      <c r="Z38" s="242"/>
      <c r="AA38" s="302">
        <v>0</v>
      </c>
    </row>
    <row r="39" spans="2:27" ht="15.75" thickBot="1" x14ac:dyDescent="0.3">
      <c r="B39" s="236" t="s">
        <v>362</v>
      </c>
      <c r="C39" s="243"/>
      <c r="D39" s="244"/>
      <c r="E39" s="244"/>
      <c r="F39" s="244"/>
      <c r="G39" s="244"/>
      <c r="H39" s="244"/>
      <c r="I39" s="244"/>
      <c r="J39" s="244"/>
      <c r="K39" s="244"/>
      <c r="L39" s="244"/>
      <c r="M39" s="244"/>
      <c r="N39" s="245"/>
      <c r="O39" s="246"/>
      <c r="P39" s="246"/>
      <c r="Q39" s="246"/>
      <c r="R39" s="247"/>
      <c r="S39" s="247"/>
      <c r="T39" s="247"/>
      <c r="U39" s="247"/>
      <c r="V39" s="247"/>
      <c r="W39" s="247"/>
      <c r="X39" s="247"/>
      <c r="Y39" s="247"/>
      <c r="Z39" s="248"/>
      <c r="AA39" s="306">
        <v>0</v>
      </c>
    </row>
    <row r="40" spans="2:27" ht="15.75" thickBot="1" x14ac:dyDescent="0.3">
      <c r="B40" s="249" t="s">
        <v>47</v>
      </c>
      <c r="C40" s="298">
        <f>SUM(C6:C39)</f>
        <v>2.9750000000000001</v>
      </c>
      <c r="D40" s="298">
        <f t="shared" ref="D40:Z40" si="9">SUM(D6:D39)</f>
        <v>138.80159999999998</v>
      </c>
      <c r="E40" s="298">
        <f t="shared" si="9"/>
        <v>203.935655</v>
      </c>
      <c r="F40" s="298">
        <f t="shared" si="9"/>
        <v>389.397155</v>
      </c>
      <c r="G40" s="298">
        <f t="shared" si="9"/>
        <v>2119.5317214435004</v>
      </c>
      <c r="H40" s="298">
        <f t="shared" si="9"/>
        <v>1978.8142214435002</v>
      </c>
      <c r="I40" s="298">
        <f t="shared" si="9"/>
        <v>1978.8142214435002</v>
      </c>
      <c r="J40" s="298">
        <f t="shared" si="9"/>
        <v>1978.8142214435002</v>
      </c>
      <c r="K40" s="298">
        <f t="shared" si="9"/>
        <v>1978.8142214435002</v>
      </c>
      <c r="L40" s="298">
        <f t="shared" si="9"/>
        <v>1978.8142214435002</v>
      </c>
      <c r="M40" s="298">
        <f t="shared" si="9"/>
        <v>1978.8142214435002</v>
      </c>
      <c r="N40" s="298">
        <f t="shared" si="9"/>
        <v>1985.8233214435002</v>
      </c>
      <c r="O40" s="298">
        <f t="shared" si="9"/>
        <v>1978.8142214435002</v>
      </c>
      <c r="P40" s="298">
        <f t="shared" si="9"/>
        <v>1978.8142214435002</v>
      </c>
      <c r="Q40" s="298">
        <f t="shared" si="9"/>
        <v>1985.4074164435001</v>
      </c>
      <c r="R40" s="298">
        <f t="shared" si="9"/>
        <v>1985.4074164435001</v>
      </c>
      <c r="S40" s="298">
        <f t="shared" si="9"/>
        <v>1985.4074164435001</v>
      </c>
      <c r="T40" s="298">
        <f t="shared" si="9"/>
        <v>1985.4074164435001</v>
      </c>
      <c r="U40" s="298">
        <f t="shared" si="9"/>
        <v>1996.1174164435001</v>
      </c>
      <c r="V40" s="298">
        <f t="shared" si="9"/>
        <v>1917.3810664435002</v>
      </c>
      <c r="W40" s="298">
        <f t="shared" si="9"/>
        <v>1917.3810664435002</v>
      </c>
      <c r="X40" s="298">
        <f t="shared" si="9"/>
        <v>1917.3810664435002</v>
      </c>
      <c r="Y40" s="298">
        <f t="shared" si="9"/>
        <v>1906.6710664435002</v>
      </c>
      <c r="Z40" s="298">
        <f t="shared" si="9"/>
        <v>2285.7091664435006</v>
      </c>
      <c r="AA40" s="299">
        <f>SUM(AA5:AA39)</f>
        <v>40553.24873887001</v>
      </c>
    </row>
    <row r="41" spans="2:27" x14ac:dyDescent="0.25">
      <c r="B41" s="250"/>
      <c r="N41" s="251"/>
      <c r="AA41" s="252"/>
    </row>
    <row r="42" spans="2:27" x14ac:dyDescent="0.25">
      <c r="B42" s="250"/>
      <c r="N42" s="251"/>
      <c r="AA42" s="252"/>
    </row>
    <row r="43" spans="2:27" x14ac:dyDescent="0.25">
      <c r="B43" s="250"/>
      <c r="N43" s="251"/>
      <c r="AA43" s="252"/>
    </row>
    <row r="44" spans="2:27" ht="15.75" thickBot="1" x14ac:dyDescent="0.3">
      <c r="B44" s="250"/>
      <c r="N44" s="251"/>
      <c r="AA44" s="252"/>
    </row>
    <row r="45" spans="2:27" ht="15.75" thickBot="1" x14ac:dyDescent="0.3">
      <c r="B45" s="253" t="s">
        <v>363</v>
      </c>
      <c r="C45" s="254" t="s">
        <v>364</v>
      </c>
      <c r="D45" s="255" t="s">
        <v>365</v>
      </c>
      <c r="N45" s="251"/>
      <c r="AA45" s="252"/>
    </row>
    <row r="46" spans="2:27" ht="15.75" thickBot="1" x14ac:dyDescent="0.3">
      <c r="B46" s="256" t="s">
        <v>366</v>
      </c>
      <c r="C46" s="257">
        <f>D46/1.19-(F34+K34)/0.19+1.684</f>
        <v>14046.515749199998</v>
      </c>
      <c r="D46" s="258">
        <f>SUM(C40:N40)</f>
        <v>16713.349781547997</v>
      </c>
      <c r="N46" s="251"/>
      <c r="AA46" s="252"/>
    </row>
    <row r="47" spans="2:27" ht="15.75" thickBot="1" x14ac:dyDescent="0.3">
      <c r="B47" s="259" t="s">
        <v>367</v>
      </c>
      <c r="C47" s="260">
        <f>D47/1.19+T34/0.19</f>
        <v>20033.52853556471</v>
      </c>
      <c r="D47" s="261">
        <f>SUM(O40:Z40)</f>
        <v>23839.898957322002</v>
      </c>
      <c r="N47" s="251"/>
      <c r="AA47" s="252"/>
    </row>
    <row r="48" spans="2:27" ht="15.75" thickBot="1" x14ac:dyDescent="0.3">
      <c r="B48" s="256" t="s">
        <v>368</v>
      </c>
      <c r="C48" s="262">
        <f>SUM(C46:C47)</f>
        <v>34080.044284764706</v>
      </c>
      <c r="D48" s="262">
        <f>SUM(D46:D47)</f>
        <v>40553.248738869996</v>
      </c>
      <c r="N48" s="251"/>
      <c r="AA48" s="252"/>
    </row>
    <row r="49" spans="2:27" x14ac:dyDescent="0.25">
      <c r="B49" s="250"/>
      <c r="N49" s="251"/>
      <c r="AA49" s="252"/>
    </row>
    <row r="50" spans="2:27" x14ac:dyDescent="0.25">
      <c r="B50" s="250"/>
      <c r="N50" s="251"/>
      <c r="AA50" s="252"/>
    </row>
    <row r="51" spans="2:27" x14ac:dyDescent="0.25">
      <c r="B51" s="250"/>
      <c r="N51" s="251"/>
      <c r="AA51" s="252"/>
    </row>
    <row r="52" spans="2:27" x14ac:dyDescent="0.25">
      <c r="B52" s="250"/>
      <c r="N52" s="251"/>
      <c r="AA52" s="252"/>
    </row>
    <row r="53" spans="2:27" ht="15.75" thickBot="1" x14ac:dyDescent="0.3">
      <c r="B53" s="263" t="s">
        <v>369</v>
      </c>
      <c r="C53" s="264"/>
      <c r="D53" s="264"/>
      <c r="E53" s="265" t="s">
        <v>370</v>
      </c>
      <c r="F53" s="265" t="s">
        <v>371</v>
      </c>
      <c r="N53" s="251"/>
      <c r="AA53" s="252"/>
    </row>
    <row r="54" spans="2:27" x14ac:dyDescent="0.25">
      <c r="B54" s="266" t="s">
        <v>372</v>
      </c>
      <c r="C54" s="267"/>
      <c r="D54" s="268">
        <f>SUM(E54:F54)</f>
        <v>0</v>
      </c>
      <c r="E54" s="269">
        <v>0</v>
      </c>
      <c r="F54" s="269">
        <v>0</v>
      </c>
      <c r="G54" s="266"/>
      <c r="N54" s="251"/>
      <c r="AA54" s="252"/>
    </row>
    <row r="55" spans="2:27" ht="15.75" thickBot="1" x14ac:dyDescent="0.3">
      <c r="B55" s="270" t="s">
        <v>373</v>
      </c>
      <c r="C55" s="271"/>
      <c r="D55" s="272">
        <f>SUM(E55:F55)</f>
        <v>0</v>
      </c>
      <c r="E55" s="273">
        <f>SUM(F11:H13)*1000</f>
        <v>0</v>
      </c>
      <c r="F55" s="274">
        <v>0</v>
      </c>
      <c r="G55" s="270"/>
      <c r="N55" s="251"/>
      <c r="AA55" s="252"/>
    </row>
    <row r="56" spans="2:27" ht="15.75" thickBot="1" x14ac:dyDescent="0.3">
      <c r="B56" s="270" t="s">
        <v>374</v>
      </c>
      <c r="C56" s="271"/>
      <c r="D56" s="272">
        <f t="shared" ref="D56:D60" si="10">SUM(E56:F56)</f>
        <v>179511.49999999997</v>
      </c>
      <c r="E56" s="275">
        <f>SUM(C16:N19)*1000</f>
        <v>179511.49999999997</v>
      </c>
      <c r="F56" s="276"/>
      <c r="G56" s="270"/>
      <c r="N56" s="251"/>
      <c r="AA56" s="252"/>
    </row>
    <row r="57" spans="2:27" ht="15.75" thickBot="1" x14ac:dyDescent="0.3">
      <c r="B57" s="270" t="s">
        <v>375</v>
      </c>
      <c r="C57" s="271"/>
      <c r="D57" s="272">
        <f t="shared" si="10"/>
        <v>961520.00000000023</v>
      </c>
      <c r="E57" s="273">
        <f>SUM(C20:N23)*1000</f>
        <v>711620.00000000023</v>
      </c>
      <c r="F57" s="273">
        <f>SUM(O23:Z23)*1000</f>
        <v>249899.99999999994</v>
      </c>
      <c r="G57" s="270"/>
      <c r="N57" s="251"/>
      <c r="AA57" s="252"/>
    </row>
    <row r="58" spans="2:27" ht="15.75" thickBot="1" x14ac:dyDescent="0.3">
      <c r="B58" s="270" t="s">
        <v>376</v>
      </c>
      <c r="C58" s="271"/>
      <c r="D58" s="272">
        <f t="shared" si="10"/>
        <v>34651516.5255</v>
      </c>
      <c r="E58" s="275">
        <f>SUM(C26:N31)*1000</f>
        <v>13685997.910200004</v>
      </c>
      <c r="F58" s="275">
        <f>SUM(O25:Z31)*1000</f>
        <v>20965518.6153</v>
      </c>
      <c r="G58" s="270"/>
      <c r="N58" s="251"/>
      <c r="AA58" s="252"/>
    </row>
    <row r="59" spans="2:27" ht="15.75" thickBot="1" x14ac:dyDescent="0.3">
      <c r="B59" s="270" t="s">
        <v>377</v>
      </c>
      <c r="C59" s="271"/>
      <c r="D59" s="272">
        <f t="shared" si="10"/>
        <v>4760700.7133700009</v>
      </c>
      <c r="E59" s="273">
        <f>SUM(C33:N36)*1000</f>
        <v>2136220.3713480001</v>
      </c>
      <c r="F59" s="273">
        <f>SUM(O33:Z37)*1000</f>
        <v>2624480.3420220003</v>
      </c>
      <c r="G59" s="270"/>
      <c r="N59" s="251"/>
      <c r="AA59" s="252"/>
    </row>
    <row r="60" spans="2:27" ht="15.75" thickBot="1" x14ac:dyDescent="0.3">
      <c r="B60" s="270" t="s">
        <v>378</v>
      </c>
      <c r="C60" s="271"/>
      <c r="D60" s="272">
        <f t="shared" si="10"/>
        <v>0</v>
      </c>
      <c r="E60" s="277">
        <v>0</v>
      </c>
      <c r="F60" s="277">
        <v>0</v>
      </c>
      <c r="G60" s="270"/>
      <c r="N60" s="251"/>
      <c r="AA60" s="252"/>
    </row>
    <row r="61" spans="2:27" ht="15.75" thickBot="1" x14ac:dyDescent="0.3">
      <c r="B61" s="380" t="s">
        <v>368</v>
      </c>
      <c r="C61" s="381"/>
      <c r="D61" s="272">
        <f>SUM(D55:D60)</f>
        <v>40553248.738870002</v>
      </c>
      <c r="E61" s="272">
        <f>SUM(E55:E60)</f>
        <v>16713349.781548005</v>
      </c>
      <c r="F61" s="272">
        <f>SUM(F55:F60)</f>
        <v>23839898.957322001</v>
      </c>
      <c r="G61" s="278"/>
      <c r="N61" s="251"/>
      <c r="AA61" s="252"/>
    </row>
    <row r="62" spans="2:27" x14ac:dyDescent="0.25">
      <c r="B62" s="250"/>
      <c r="AA62" s="252"/>
    </row>
    <row r="63" spans="2:27" x14ac:dyDescent="0.25">
      <c r="B63" s="250"/>
      <c r="AA63" s="252"/>
    </row>
    <row r="64" spans="2:27" x14ac:dyDescent="0.25">
      <c r="B64" s="250"/>
      <c r="AA64" s="252"/>
    </row>
    <row r="65" spans="2:27" x14ac:dyDescent="0.25">
      <c r="B65" s="250"/>
      <c r="AA65" s="252"/>
    </row>
    <row r="66" spans="2:27" x14ac:dyDescent="0.25">
      <c r="B66" s="250"/>
      <c r="AA66" s="252"/>
    </row>
    <row r="67" spans="2:27" x14ac:dyDescent="0.25">
      <c r="B67" s="250"/>
      <c r="AA67" s="252"/>
    </row>
    <row r="68" spans="2:27" x14ac:dyDescent="0.25">
      <c r="B68" s="250"/>
      <c r="AA68" s="252"/>
    </row>
    <row r="69" spans="2:27" x14ac:dyDescent="0.25">
      <c r="B69" s="250"/>
      <c r="AA69" s="252"/>
    </row>
    <row r="70" spans="2:27" x14ac:dyDescent="0.25">
      <c r="B70" s="250"/>
      <c r="AA70" s="252"/>
    </row>
    <row r="71" spans="2:27" x14ac:dyDescent="0.25">
      <c r="B71" s="250"/>
      <c r="AA71" s="252"/>
    </row>
    <row r="72" spans="2:27" x14ac:dyDescent="0.25">
      <c r="B72" s="250"/>
      <c r="AA72" s="252"/>
    </row>
    <row r="73" spans="2:27" x14ac:dyDescent="0.25">
      <c r="B73" s="250"/>
      <c r="AA73" s="252"/>
    </row>
    <row r="74" spans="2:27" x14ac:dyDescent="0.25">
      <c r="B74" s="250"/>
      <c r="AA74" s="252"/>
    </row>
    <row r="75" spans="2:27" x14ac:dyDescent="0.25">
      <c r="B75" s="250"/>
      <c r="AA75" s="252"/>
    </row>
    <row r="76" spans="2:27" x14ac:dyDescent="0.25">
      <c r="B76" s="250"/>
      <c r="AA76" s="252"/>
    </row>
    <row r="77" spans="2:27" x14ac:dyDescent="0.25">
      <c r="B77" s="250"/>
      <c r="AA77" s="252"/>
    </row>
    <row r="78" spans="2:27" x14ac:dyDescent="0.25">
      <c r="B78" s="250"/>
      <c r="AA78" s="252"/>
    </row>
    <row r="79" spans="2:27" x14ac:dyDescent="0.25">
      <c r="B79" s="250"/>
      <c r="AA79" s="252"/>
    </row>
    <row r="80" spans="2:27" x14ac:dyDescent="0.25">
      <c r="B80" s="250"/>
      <c r="AA80" s="252"/>
    </row>
    <row r="81" spans="2:27" x14ac:dyDescent="0.25">
      <c r="B81" s="250"/>
      <c r="AA81" s="252"/>
    </row>
    <row r="82" spans="2:27" x14ac:dyDescent="0.25">
      <c r="B82" s="250"/>
      <c r="AA82" s="252"/>
    </row>
    <row r="83" spans="2:27" x14ac:dyDescent="0.25">
      <c r="B83" s="250"/>
      <c r="AA83" s="252"/>
    </row>
    <row r="84" spans="2:27" x14ac:dyDescent="0.25">
      <c r="B84" s="250"/>
      <c r="AA84" s="252"/>
    </row>
    <row r="85" spans="2:27" x14ac:dyDescent="0.25">
      <c r="B85" s="250"/>
      <c r="AA85" s="252"/>
    </row>
    <row r="86" spans="2:27" x14ac:dyDescent="0.25">
      <c r="B86" s="250"/>
      <c r="AA86" s="252"/>
    </row>
    <row r="87" spans="2:27" x14ac:dyDescent="0.25">
      <c r="B87" s="250"/>
      <c r="AA87" s="252"/>
    </row>
    <row r="88" spans="2:27" x14ac:dyDescent="0.25">
      <c r="B88" s="250"/>
      <c r="AA88" s="252"/>
    </row>
    <row r="89" spans="2:27" x14ac:dyDescent="0.25">
      <c r="B89" s="250"/>
      <c r="AA89" s="252"/>
    </row>
    <row r="90" spans="2:27" x14ac:dyDescent="0.25">
      <c r="B90" s="250"/>
      <c r="AA90" s="252"/>
    </row>
    <row r="91" spans="2:27" x14ac:dyDescent="0.25">
      <c r="B91" s="250"/>
      <c r="AA91" s="252"/>
    </row>
    <row r="92" spans="2:27" x14ac:dyDescent="0.25">
      <c r="B92" s="250"/>
      <c r="AA92" s="252"/>
    </row>
    <row r="93" spans="2:27" x14ac:dyDescent="0.25">
      <c r="B93" s="250"/>
      <c r="AA93" s="252"/>
    </row>
    <row r="94" spans="2:27" x14ac:dyDescent="0.25">
      <c r="B94" s="250"/>
      <c r="AA94" s="252"/>
    </row>
    <row r="95" spans="2:27" x14ac:dyDescent="0.25">
      <c r="B95" s="250"/>
      <c r="AA95" s="252"/>
    </row>
    <row r="96" spans="2:27" x14ac:dyDescent="0.25">
      <c r="B96" s="250"/>
      <c r="AA96" s="252"/>
    </row>
    <row r="97" spans="2:27" x14ac:dyDescent="0.25">
      <c r="B97" s="250"/>
      <c r="AA97" s="252"/>
    </row>
    <row r="98" spans="2:27" x14ac:dyDescent="0.25">
      <c r="B98" s="250"/>
      <c r="AA98" s="252"/>
    </row>
    <row r="99" spans="2:27" x14ac:dyDescent="0.25">
      <c r="B99" s="250"/>
      <c r="AA99" s="252"/>
    </row>
    <row r="100" spans="2:27" x14ac:dyDescent="0.25">
      <c r="B100" s="250"/>
      <c r="AA100" s="252"/>
    </row>
    <row r="101" spans="2:27" x14ac:dyDescent="0.25">
      <c r="B101" s="250"/>
      <c r="AA101" s="252"/>
    </row>
    <row r="102" spans="2:27" x14ac:dyDescent="0.25">
      <c r="B102" s="250"/>
      <c r="AA102" s="252"/>
    </row>
    <row r="103" spans="2:27" x14ac:dyDescent="0.25">
      <c r="B103" s="250"/>
      <c r="AA103" s="252"/>
    </row>
    <row r="104" spans="2:27" x14ac:dyDescent="0.25">
      <c r="B104" s="250"/>
      <c r="AA104" s="252"/>
    </row>
    <row r="105" spans="2:27" x14ac:dyDescent="0.25">
      <c r="B105" s="250"/>
      <c r="AA105" s="252"/>
    </row>
    <row r="106" spans="2:27" x14ac:dyDescent="0.25">
      <c r="B106" s="250"/>
      <c r="AA106" s="252"/>
    </row>
    <row r="107" spans="2:27" x14ac:dyDescent="0.25">
      <c r="B107" s="250"/>
      <c r="AA107" s="252"/>
    </row>
    <row r="108" spans="2:27" x14ac:dyDescent="0.25">
      <c r="B108" s="250"/>
      <c r="AA108" s="252"/>
    </row>
    <row r="109" spans="2:27" x14ac:dyDescent="0.25">
      <c r="B109" s="250"/>
      <c r="AA109" s="252"/>
    </row>
    <row r="110" spans="2:27" x14ac:dyDescent="0.25">
      <c r="B110" s="250"/>
      <c r="AA110" s="252"/>
    </row>
    <row r="111" spans="2:27" x14ac:dyDescent="0.25">
      <c r="B111" s="250"/>
      <c r="AA111" s="252"/>
    </row>
    <row r="112" spans="2:27" x14ac:dyDescent="0.25">
      <c r="B112" s="250"/>
      <c r="AA112" s="252"/>
    </row>
    <row r="113" spans="2:27" x14ac:dyDescent="0.25">
      <c r="B113" s="250"/>
      <c r="AA113" s="252"/>
    </row>
    <row r="114" spans="2:27" x14ac:dyDescent="0.25">
      <c r="B114" s="250"/>
      <c r="AA114" s="252"/>
    </row>
    <row r="115" spans="2:27" x14ac:dyDescent="0.25">
      <c r="B115" s="250"/>
      <c r="AA115" s="252"/>
    </row>
    <row r="116" spans="2:27" x14ac:dyDescent="0.25">
      <c r="B116" s="250"/>
      <c r="AA116" s="252"/>
    </row>
    <row r="117" spans="2:27" x14ac:dyDescent="0.25">
      <c r="B117" s="250"/>
      <c r="AA117" s="252"/>
    </row>
    <row r="118" spans="2:27" x14ac:dyDescent="0.25">
      <c r="B118" s="250"/>
      <c r="AA118" s="252"/>
    </row>
    <row r="119" spans="2:27" x14ac:dyDescent="0.25">
      <c r="B119" s="250"/>
      <c r="AA119" s="252"/>
    </row>
    <row r="120" spans="2:27" x14ac:dyDescent="0.25">
      <c r="B120" s="250"/>
      <c r="AA120" s="252"/>
    </row>
    <row r="121" spans="2:27" x14ac:dyDescent="0.25">
      <c r="B121" s="250"/>
      <c r="AA121" s="252"/>
    </row>
    <row r="122" spans="2:27" x14ac:dyDescent="0.25">
      <c r="B122" s="250"/>
      <c r="AA122" s="252"/>
    </row>
    <row r="123" spans="2:27" x14ac:dyDescent="0.25">
      <c r="B123" s="250"/>
      <c r="AA123" s="252"/>
    </row>
    <row r="124" spans="2:27" x14ac:dyDescent="0.25">
      <c r="B124" s="250"/>
      <c r="AA124" s="252"/>
    </row>
    <row r="125" spans="2:27" x14ac:dyDescent="0.25">
      <c r="B125" s="250"/>
      <c r="AA125" s="252"/>
    </row>
    <row r="126" spans="2:27" x14ac:dyDescent="0.25">
      <c r="B126" s="250"/>
      <c r="AA126" s="252"/>
    </row>
    <row r="127" spans="2:27" x14ac:dyDescent="0.25">
      <c r="B127" s="250"/>
      <c r="AA127" s="252"/>
    </row>
    <row r="128" spans="2:27" x14ac:dyDescent="0.25">
      <c r="B128" s="250"/>
      <c r="AA128" s="252"/>
    </row>
    <row r="129" spans="2:27" x14ac:dyDescent="0.25">
      <c r="B129" s="250"/>
      <c r="AA129" s="252"/>
    </row>
  </sheetData>
  <mergeCells count="3">
    <mergeCell ref="B1:M1"/>
    <mergeCell ref="C3:Z3"/>
    <mergeCell ref="B61:C61"/>
  </mergeCells>
  <pageMargins left="0.7" right="0.7" top="0.75" bottom="0.75" header="0.3" footer="0.3"/>
  <pageSetup paperSize="9" scale="51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2:J111"/>
  <sheetViews>
    <sheetView topLeftCell="A55" zoomScale="120" zoomScaleNormal="120" workbookViewId="0">
      <selection activeCell="D108" sqref="D108"/>
    </sheetView>
  </sheetViews>
  <sheetFormatPr defaultRowHeight="15" x14ac:dyDescent="0.25"/>
  <cols>
    <col min="1" max="1" width="2.42578125" style="22" customWidth="1"/>
    <col min="2" max="2" width="4.5703125" style="22" customWidth="1"/>
    <col min="3" max="3" width="36.42578125" style="22" customWidth="1"/>
    <col min="4" max="4" width="10.42578125" style="22" bestFit="1" customWidth="1"/>
    <col min="5" max="5" width="9.140625" style="22" hidden="1" customWidth="1"/>
    <col min="6" max="6" width="9.140625" style="22"/>
    <col min="7" max="7" width="10.42578125" style="22" bestFit="1" customWidth="1"/>
    <col min="8" max="8" width="0" style="22" hidden="1" customWidth="1"/>
    <col min="9" max="9" width="41" style="22" customWidth="1"/>
    <col min="10" max="10" width="11.28515625" style="22" bestFit="1" customWidth="1"/>
    <col min="11" max="16384" width="9.140625" style="22"/>
  </cols>
  <sheetData>
    <row r="2" spans="1:8" x14ac:dyDescent="0.25">
      <c r="B2" s="393" t="s">
        <v>104</v>
      </c>
      <c r="C2" s="393"/>
      <c r="D2" s="393"/>
      <c r="E2" s="393"/>
      <c r="F2" s="393"/>
      <c r="G2" s="393"/>
    </row>
    <row r="3" spans="1:8" x14ac:dyDescent="0.25">
      <c r="B3" s="393"/>
      <c r="C3" s="393"/>
      <c r="D3" s="393"/>
      <c r="E3" s="393"/>
      <c r="F3" s="393"/>
      <c r="G3" s="393"/>
      <c r="H3" s="393"/>
    </row>
    <row r="4" spans="1:8" x14ac:dyDescent="0.25">
      <c r="B4" s="393"/>
      <c r="C4" s="393"/>
      <c r="D4" s="393"/>
      <c r="E4" s="393"/>
      <c r="F4" s="393"/>
      <c r="G4" s="393"/>
      <c r="H4" s="393"/>
    </row>
    <row r="5" spans="1:8" x14ac:dyDescent="0.2">
      <c r="E5" s="22" t="s">
        <v>84</v>
      </c>
      <c r="F5" s="51" t="s">
        <v>148</v>
      </c>
      <c r="G5" s="22" t="s">
        <v>16</v>
      </c>
    </row>
    <row r="6" spans="1:8" x14ac:dyDescent="0.25">
      <c r="A6" s="23"/>
      <c r="B6" s="396" t="s">
        <v>83</v>
      </c>
      <c r="C6" s="396"/>
      <c r="D6" s="396"/>
      <c r="E6" s="396"/>
      <c r="F6" s="396"/>
      <c r="G6" s="396"/>
      <c r="H6" s="396"/>
    </row>
    <row r="7" spans="1:8" ht="15.75" thickBot="1" x14ac:dyDescent="0.3">
      <c r="A7" s="23"/>
      <c r="B7" s="23"/>
      <c r="C7" s="23"/>
      <c r="D7" s="23"/>
      <c r="E7" s="24"/>
      <c r="F7" s="24"/>
      <c r="G7" s="23"/>
      <c r="H7" s="25"/>
    </row>
    <row r="8" spans="1:8" x14ac:dyDescent="0.25">
      <c r="A8" s="23"/>
      <c r="B8" s="385" t="s">
        <v>78</v>
      </c>
      <c r="C8" s="387" t="s">
        <v>79</v>
      </c>
      <c r="D8" s="387" t="s">
        <v>80</v>
      </c>
      <c r="E8" s="389"/>
      <c r="F8" s="387" t="s">
        <v>3</v>
      </c>
      <c r="G8" s="387" t="s">
        <v>81</v>
      </c>
      <c r="H8" s="391"/>
    </row>
    <row r="9" spans="1:8" ht="15" customHeight="1" x14ac:dyDescent="0.25">
      <c r="A9" s="23"/>
      <c r="B9" s="386"/>
      <c r="C9" s="388"/>
      <c r="D9" s="390"/>
      <c r="E9" s="390"/>
      <c r="F9" s="390"/>
      <c r="G9" s="390"/>
      <c r="H9" s="392"/>
    </row>
    <row r="10" spans="1:8" x14ac:dyDescent="0.25">
      <c r="A10" s="23"/>
      <c r="B10" s="386"/>
      <c r="C10" s="388"/>
      <c r="D10" s="27" t="s">
        <v>179</v>
      </c>
      <c r="E10" s="27" t="s">
        <v>82</v>
      </c>
      <c r="F10" s="27" t="s">
        <v>180</v>
      </c>
      <c r="G10" s="27" t="s">
        <v>179</v>
      </c>
      <c r="H10" s="18" t="s">
        <v>82</v>
      </c>
    </row>
    <row r="11" spans="1:8" ht="15.75" thickBot="1" x14ac:dyDescent="0.3">
      <c r="A11" s="23"/>
      <c r="B11" s="36">
        <v>1</v>
      </c>
      <c r="C11" s="37">
        <v>2</v>
      </c>
      <c r="D11" s="37">
        <v>3</v>
      </c>
      <c r="E11" s="37">
        <v>4</v>
      </c>
      <c r="F11" s="37">
        <v>5</v>
      </c>
      <c r="G11" s="37">
        <v>6</v>
      </c>
      <c r="H11" s="38">
        <v>7</v>
      </c>
    </row>
    <row r="12" spans="1:8" x14ac:dyDescent="0.25">
      <c r="A12" s="23"/>
      <c r="B12" s="32">
        <v>1</v>
      </c>
      <c r="C12" s="33" t="s">
        <v>163</v>
      </c>
      <c r="D12" s="34">
        <v>12090.66</v>
      </c>
      <c r="E12" s="34">
        <f>D12/F5</f>
        <v>0.2595954911433172</v>
      </c>
      <c r="F12" s="34">
        <f t="shared" ref="F12:F21" si="0">D12*19%</f>
        <v>2297.2253999999998</v>
      </c>
      <c r="G12" s="34">
        <f t="shared" ref="G12:G21" si="1">D12+F12</f>
        <v>14387.885399999999</v>
      </c>
      <c r="H12" s="35">
        <f t="shared" ref="H12:H21" si="2">E12*1.19</f>
        <v>0.30891863446054746</v>
      </c>
    </row>
    <row r="13" spans="1:8" x14ac:dyDescent="0.25">
      <c r="A13" s="23"/>
      <c r="B13" s="19">
        <v>2</v>
      </c>
      <c r="C13" s="16" t="s">
        <v>164</v>
      </c>
      <c r="D13" s="20">
        <v>1342.01</v>
      </c>
      <c r="E13" s="20">
        <f>D13/F5</f>
        <v>2.8813955984970479E-2</v>
      </c>
      <c r="F13" s="20">
        <f t="shared" si="0"/>
        <v>254.9819</v>
      </c>
      <c r="G13" s="20">
        <f t="shared" si="1"/>
        <v>1596.9919</v>
      </c>
      <c r="H13" s="21">
        <f t="shared" si="2"/>
        <v>3.4288607622114865E-2</v>
      </c>
    </row>
    <row r="14" spans="1:8" x14ac:dyDescent="0.25">
      <c r="A14" s="23"/>
      <c r="B14" s="32">
        <v>3</v>
      </c>
      <c r="C14" s="16" t="s">
        <v>165</v>
      </c>
      <c r="D14" s="20">
        <v>2820</v>
      </c>
      <c r="E14" s="20">
        <f>D14/F5</f>
        <v>6.0547504025764892E-2</v>
      </c>
      <c r="F14" s="20">
        <f t="shared" si="0"/>
        <v>535.79999999999995</v>
      </c>
      <c r="G14" s="20">
        <f t="shared" si="1"/>
        <v>3355.8</v>
      </c>
      <c r="H14" s="21">
        <f t="shared" si="2"/>
        <v>7.2051529790660221E-2</v>
      </c>
    </row>
    <row r="15" spans="1:8" x14ac:dyDescent="0.25">
      <c r="A15" s="23"/>
      <c r="B15" s="19">
        <v>4</v>
      </c>
      <c r="C15" s="16" t="s">
        <v>161</v>
      </c>
      <c r="D15" s="20">
        <v>20847</v>
      </c>
      <c r="E15" s="20">
        <f>D15/F5</f>
        <v>0.44760064412238326</v>
      </c>
      <c r="F15" s="20">
        <f t="shared" si="0"/>
        <v>3960.93</v>
      </c>
      <c r="G15" s="20">
        <f t="shared" si="1"/>
        <v>24807.93</v>
      </c>
      <c r="H15" s="21">
        <f t="shared" si="2"/>
        <v>0.53264476650563608</v>
      </c>
    </row>
    <row r="16" spans="1:8" x14ac:dyDescent="0.25">
      <c r="A16" s="23"/>
      <c r="B16" s="32">
        <v>5</v>
      </c>
      <c r="C16" s="16" t="s">
        <v>166</v>
      </c>
      <c r="D16" s="20">
        <v>5242.0200000000004</v>
      </c>
      <c r="E16" s="20">
        <f>D16/F5</f>
        <v>0.11255008051529791</v>
      </c>
      <c r="F16" s="20">
        <f t="shared" si="0"/>
        <v>995.98380000000009</v>
      </c>
      <c r="G16" s="20">
        <f t="shared" si="1"/>
        <v>6238.0038000000004</v>
      </c>
      <c r="H16" s="21">
        <f t="shared" si="2"/>
        <v>0.13393459581320452</v>
      </c>
    </row>
    <row r="17" spans="1:10" x14ac:dyDescent="0.25">
      <c r="A17" s="23"/>
      <c r="B17" s="19">
        <v>6</v>
      </c>
      <c r="C17" s="16" t="s">
        <v>167</v>
      </c>
      <c r="D17" s="20">
        <v>3296.7</v>
      </c>
      <c r="E17" s="20">
        <f>D17/F5</f>
        <v>7.0782608695652172E-2</v>
      </c>
      <c r="F17" s="20">
        <f t="shared" si="0"/>
        <v>626.37299999999993</v>
      </c>
      <c r="G17" s="20">
        <f t="shared" si="1"/>
        <v>3923.0729999999999</v>
      </c>
      <c r="H17" s="21">
        <f t="shared" si="2"/>
        <v>8.423130434782608E-2</v>
      </c>
    </row>
    <row r="18" spans="1:10" x14ac:dyDescent="0.25">
      <c r="A18" s="23"/>
      <c r="B18" s="32">
        <v>7</v>
      </c>
      <c r="C18" s="16" t="s">
        <v>217</v>
      </c>
      <c r="D18" s="20">
        <v>23766.37</v>
      </c>
      <c r="E18" s="20">
        <f>D18/F5</f>
        <v>0.51028169618894259</v>
      </c>
      <c r="F18" s="20">
        <f t="shared" si="0"/>
        <v>4515.6103000000003</v>
      </c>
      <c r="G18" s="20">
        <f t="shared" si="1"/>
        <v>28281.980299999999</v>
      </c>
      <c r="H18" s="21">
        <f t="shared" si="2"/>
        <v>0.60723521846484163</v>
      </c>
    </row>
    <row r="19" spans="1:10" x14ac:dyDescent="0.25">
      <c r="A19" s="23"/>
      <c r="B19" s="19">
        <v>8</v>
      </c>
      <c r="C19" s="16" t="s">
        <v>168</v>
      </c>
      <c r="D19" s="20"/>
      <c r="E19" s="20">
        <f>D19/F5</f>
        <v>0</v>
      </c>
      <c r="F19" s="20">
        <f t="shared" si="0"/>
        <v>0</v>
      </c>
      <c r="G19" s="20">
        <f t="shared" si="1"/>
        <v>0</v>
      </c>
      <c r="H19" s="21">
        <f t="shared" si="2"/>
        <v>0</v>
      </c>
    </row>
    <row r="20" spans="1:10" x14ac:dyDescent="0.25">
      <c r="A20" s="23"/>
      <c r="B20" s="32">
        <v>9</v>
      </c>
      <c r="C20" s="16" t="s">
        <v>168</v>
      </c>
      <c r="D20" s="20"/>
      <c r="E20" s="20">
        <f>D20/F5</f>
        <v>0</v>
      </c>
      <c r="F20" s="20">
        <f t="shared" si="0"/>
        <v>0</v>
      </c>
      <c r="G20" s="20">
        <f t="shared" si="1"/>
        <v>0</v>
      </c>
      <c r="H20" s="21">
        <f t="shared" si="2"/>
        <v>0</v>
      </c>
    </row>
    <row r="21" spans="1:10" ht="15.75" thickBot="1" x14ac:dyDescent="0.25">
      <c r="B21" s="394" t="s">
        <v>97</v>
      </c>
      <c r="C21" s="395"/>
      <c r="D21" s="30">
        <f>SUM(D12:D20)</f>
        <v>69404.759999999995</v>
      </c>
      <c r="E21" s="30">
        <f>D21/F5</f>
        <v>1.4901719806763285</v>
      </c>
      <c r="F21" s="30">
        <f t="shared" si="0"/>
        <v>13186.904399999999</v>
      </c>
      <c r="G21" s="30">
        <f t="shared" si="1"/>
        <v>82591.664399999994</v>
      </c>
      <c r="H21" s="31">
        <f t="shared" si="2"/>
        <v>1.7733046570048308</v>
      </c>
      <c r="I21" s="71"/>
    </row>
    <row r="25" spans="1:10" x14ac:dyDescent="0.25">
      <c r="B25" s="396" t="s">
        <v>88</v>
      </c>
      <c r="C25" s="396"/>
      <c r="D25" s="396"/>
      <c r="E25" s="396"/>
      <c r="F25" s="396"/>
      <c r="G25" s="396"/>
      <c r="H25" s="396"/>
    </row>
    <row r="26" spans="1:10" ht="15.75" thickBot="1" x14ac:dyDescent="0.3">
      <c r="B26" s="23"/>
      <c r="C26" s="23"/>
      <c r="D26" s="23"/>
      <c r="E26" s="24"/>
      <c r="F26" s="24"/>
      <c r="G26" s="23"/>
      <c r="H26" s="25"/>
    </row>
    <row r="27" spans="1:10" x14ac:dyDescent="0.25">
      <c r="B27" s="385" t="s">
        <v>78</v>
      </c>
      <c r="C27" s="387" t="s">
        <v>79</v>
      </c>
      <c r="D27" s="387" t="s">
        <v>80</v>
      </c>
      <c r="E27" s="389"/>
      <c r="F27" s="387" t="s">
        <v>3</v>
      </c>
      <c r="G27" s="387" t="s">
        <v>81</v>
      </c>
      <c r="H27" s="391"/>
    </row>
    <row r="28" spans="1:10" x14ac:dyDescent="0.25">
      <c r="B28" s="386"/>
      <c r="C28" s="388"/>
      <c r="D28" s="390"/>
      <c r="E28" s="390"/>
      <c r="F28" s="390"/>
      <c r="G28" s="390"/>
      <c r="H28" s="392"/>
      <c r="J28" s="67"/>
    </row>
    <row r="29" spans="1:10" x14ac:dyDescent="0.25">
      <c r="B29" s="386"/>
      <c r="C29" s="388"/>
      <c r="D29" s="66" t="s">
        <v>179</v>
      </c>
      <c r="E29" s="27" t="s">
        <v>82</v>
      </c>
      <c r="F29" s="66" t="s">
        <v>179</v>
      </c>
      <c r="G29" s="66" t="s">
        <v>179</v>
      </c>
      <c r="H29" s="18" t="s">
        <v>82</v>
      </c>
    </row>
    <row r="30" spans="1:10" ht="15.75" thickBot="1" x14ac:dyDescent="0.3">
      <c r="B30" s="36">
        <v>1</v>
      </c>
      <c r="C30" s="37">
        <v>2</v>
      </c>
      <c r="D30" s="37">
        <v>3</v>
      </c>
      <c r="E30" s="37">
        <v>4</v>
      </c>
      <c r="F30" s="37">
        <v>5</v>
      </c>
      <c r="G30" s="37">
        <v>6</v>
      </c>
      <c r="H30" s="38">
        <v>7</v>
      </c>
    </row>
    <row r="31" spans="1:10" x14ac:dyDescent="0.25">
      <c r="B31" s="32">
        <v>1</v>
      </c>
      <c r="C31" s="33" t="s">
        <v>178</v>
      </c>
      <c r="D31" s="34">
        <v>20424.84</v>
      </c>
      <c r="E31" s="34">
        <f>D31/F5</f>
        <v>0.4385365539452496</v>
      </c>
      <c r="F31" s="34">
        <f t="shared" ref="F31:F43" si="3">D31*19%</f>
        <v>3880.7195999999999</v>
      </c>
      <c r="G31" s="34">
        <f t="shared" ref="G31:G43" si="4">D31+F31</f>
        <v>24305.559600000001</v>
      </c>
      <c r="H31" s="35">
        <f t="shared" ref="H31:H43" si="5">E31*1.19</f>
        <v>0.52185849919484695</v>
      </c>
    </row>
    <row r="32" spans="1:10" x14ac:dyDescent="0.25">
      <c r="B32" s="19">
        <v>2</v>
      </c>
      <c r="C32" s="16" t="s">
        <v>171</v>
      </c>
      <c r="D32" s="20">
        <v>994.35</v>
      </c>
      <c r="E32" s="20">
        <f>D32/F5</f>
        <v>2.1349436392914655E-2</v>
      </c>
      <c r="F32" s="20">
        <f t="shared" si="3"/>
        <v>188.9265</v>
      </c>
      <c r="G32" s="20">
        <f t="shared" si="4"/>
        <v>1183.2764999999999</v>
      </c>
      <c r="H32" s="21">
        <f t="shared" si="5"/>
        <v>2.5405829307568437E-2</v>
      </c>
    </row>
    <row r="33" spans="2:8" x14ac:dyDescent="0.25">
      <c r="B33" s="19">
        <v>3</v>
      </c>
      <c r="C33" s="16" t="s">
        <v>172</v>
      </c>
      <c r="D33" s="20">
        <v>21839.19</v>
      </c>
      <c r="E33" s="20">
        <f>D33/F5</f>
        <v>0.46890370370370366</v>
      </c>
      <c r="F33" s="20">
        <f t="shared" si="3"/>
        <v>4149.4461000000001</v>
      </c>
      <c r="G33" s="20">
        <f t="shared" si="4"/>
        <v>25988.6361</v>
      </c>
      <c r="H33" s="21">
        <f t="shared" si="5"/>
        <v>0.55799540740740727</v>
      </c>
    </row>
    <row r="34" spans="2:8" x14ac:dyDescent="0.25">
      <c r="B34" s="19">
        <v>4</v>
      </c>
      <c r="C34" s="16" t="s">
        <v>173</v>
      </c>
      <c r="D34" s="20">
        <v>54.17</v>
      </c>
      <c r="E34" s="20">
        <f>D34/F5</f>
        <v>1.1630703166935052E-3</v>
      </c>
      <c r="F34" s="20">
        <f t="shared" si="3"/>
        <v>10.292300000000001</v>
      </c>
      <c r="G34" s="20">
        <f t="shared" si="4"/>
        <v>64.462299999999999</v>
      </c>
      <c r="H34" s="21">
        <f t="shared" si="5"/>
        <v>1.3840536768652712E-3</v>
      </c>
    </row>
    <row r="35" spans="2:8" x14ac:dyDescent="0.25">
      <c r="B35" s="19">
        <v>5</v>
      </c>
      <c r="C35" s="17" t="s">
        <v>174</v>
      </c>
      <c r="D35" s="20">
        <v>5495.76</v>
      </c>
      <c r="E35" s="20">
        <f>D35/F5</f>
        <v>0.11799806763285024</v>
      </c>
      <c r="F35" s="20">
        <f t="shared" si="3"/>
        <v>1044.1944000000001</v>
      </c>
      <c r="G35" s="20">
        <f t="shared" si="4"/>
        <v>6539.9544000000005</v>
      </c>
      <c r="H35" s="21">
        <f t="shared" si="5"/>
        <v>0.1404177004830918</v>
      </c>
    </row>
    <row r="36" spans="2:8" x14ac:dyDescent="0.25">
      <c r="B36" s="19">
        <v>6</v>
      </c>
      <c r="C36" s="16" t="s">
        <v>175</v>
      </c>
      <c r="D36" s="20">
        <v>2737</v>
      </c>
      <c r="E36" s="20">
        <f>D36/F5</f>
        <v>5.8765432098765433E-2</v>
      </c>
      <c r="F36" s="20">
        <f t="shared" si="3"/>
        <v>520.03</v>
      </c>
      <c r="G36" s="20">
        <f t="shared" si="4"/>
        <v>3257.0299999999997</v>
      </c>
      <c r="H36" s="21">
        <f t="shared" si="5"/>
        <v>6.9930864197530862E-2</v>
      </c>
    </row>
    <row r="37" spans="2:8" x14ac:dyDescent="0.25">
      <c r="B37" s="19">
        <v>7</v>
      </c>
      <c r="C37" s="16" t="s">
        <v>176</v>
      </c>
      <c r="D37" s="20">
        <v>1099.1300000000001</v>
      </c>
      <c r="E37" s="20">
        <f>D37/F5</f>
        <v>2.3599141170155664E-2</v>
      </c>
      <c r="F37" s="20">
        <f t="shared" si="3"/>
        <v>208.83470000000003</v>
      </c>
      <c r="G37" s="20">
        <f t="shared" si="4"/>
        <v>1307.9647000000002</v>
      </c>
      <c r="H37" s="21">
        <f t="shared" si="5"/>
        <v>2.8082977992485238E-2</v>
      </c>
    </row>
    <row r="38" spans="2:8" x14ac:dyDescent="0.25">
      <c r="B38" s="19">
        <v>8</v>
      </c>
      <c r="C38" s="16" t="s">
        <v>177</v>
      </c>
      <c r="D38" s="20">
        <v>1065</v>
      </c>
      <c r="E38" s="20"/>
      <c r="F38" s="20">
        <f t="shared" si="3"/>
        <v>202.35</v>
      </c>
      <c r="G38" s="20">
        <f t="shared" si="4"/>
        <v>1267.3499999999999</v>
      </c>
      <c r="H38" s="21"/>
    </row>
    <row r="39" spans="2:8" x14ac:dyDescent="0.25">
      <c r="B39" s="19">
        <v>9</v>
      </c>
      <c r="C39" s="16" t="s">
        <v>169</v>
      </c>
      <c r="D39" s="20">
        <v>448.82</v>
      </c>
      <c r="E39" s="20"/>
      <c r="F39" s="20">
        <f t="shared" si="3"/>
        <v>85.275800000000004</v>
      </c>
      <c r="G39" s="20">
        <f t="shared" si="4"/>
        <v>534.09580000000005</v>
      </c>
      <c r="H39" s="21"/>
    </row>
    <row r="40" spans="2:8" x14ac:dyDescent="0.25">
      <c r="B40" s="19">
        <v>10</v>
      </c>
      <c r="C40" s="16" t="s">
        <v>170</v>
      </c>
      <c r="D40" s="20">
        <v>17141.848699999999</v>
      </c>
      <c r="E40" s="20"/>
      <c r="F40" s="20">
        <f t="shared" si="3"/>
        <v>3256.9512529999997</v>
      </c>
      <c r="G40" s="20">
        <f t="shared" si="4"/>
        <v>20398.799952999998</v>
      </c>
      <c r="H40" s="21"/>
    </row>
    <row r="41" spans="2:8" x14ac:dyDescent="0.25">
      <c r="B41" s="19">
        <v>11</v>
      </c>
      <c r="C41" s="70" t="s">
        <v>162</v>
      </c>
      <c r="D41" s="20">
        <v>9523.36</v>
      </c>
      <c r="E41" s="20"/>
      <c r="F41" s="20">
        <f t="shared" si="3"/>
        <v>1809.4384000000002</v>
      </c>
      <c r="G41" s="20">
        <f t="shared" si="4"/>
        <v>11332.798400000001</v>
      </c>
      <c r="H41" s="21"/>
    </row>
    <row r="42" spans="2:8" x14ac:dyDescent="0.25">
      <c r="B42" s="19">
        <v>18</v>
      </c>
      <c r="C42" s="16"/>
      <c r="D42" s="20"/>
      <c r="E42" s="20">
        <f>C42/F5</f>
        <v>0</v>
      </c>
      <c r="F42" s="20">
        <f>D42*19%</f>
        <v>0</v>
      </c>
      <c r="G42" s="20">
        <f>D42+F42</f>
        <v>0</v>
      </c>
      <c r="H42" s="21">
        <f>E42*1.19</f>
        <v>0</v>
      </c>
    </row>
    <row r="43" spans="2:8" ht="15.75" thickBot="1" x14ac:dyDescent="0.25">
      <c r="B43" s="394" t="s">
        <v>96</v>
      </c>
      <c r="C43" s="395"/>
      <c r="D43" s="30">
        <f>SUM(D31:D42)</f>
        <v>80823.468699999998</v>
      </c>
      <c r="E43" s="30">
        <f>D43/F5</f>
        <v>1.7353401760601181</v>
      </c>
      <c r="F43" s="30">
        <f t="shared" si="3"/>
        <v>15356.459053</v>
      </c>
      <c r="G43" s="30">
        <f t="shared" si="4"/>
        <v>96179.927752999996</v>
      </c>
      <c r="H43" s="31">
        <f t="shared" si="5"/>
        <v>2.0650548095115404</v>
      </c>
    </row>
    <row r="51" spans="2:8" x14ac:dyDescent="0.25">
      <c r="B51" s="396" t="s">
        <v>89</v>
      </c>
      <c r="C51" s="396"/>
      <c r="D51" s="396"/>
      <c r="E51" s="396"/>
      <c r="F51" s="396"/>
      <c r="G51" s="396"/>
      <c r="H51" s="396"/>
    </row>
    <row r="52" spans="2:8" ht="15.75" thickBot="1" x14ac:dyDescent="0.3">
      <c r="B52" s="23"/>
      <c r="C52" s="23"/>
      <c r="D52" s="23"/>
      <c r="E52" s="24"/>
      <c r="F52" s="24"/>
      <c r="G52" s="23"/>
      <c r="H52" s="25"/>
    </row>
    <row r="53" spans="2:8" x14ac:dyDescent="0.25">
      <c r="B53" s="385" t="s">
        <v>78</v>
      </c>
      <c r="C53" s="387" t="s">
        <v>79</v>
      </c>
      <c r="D53" s="387" t="s">
        <v>80</v>
      </c>
      <c r="E53" s="389"/>
      <c r="F53" s="387" t="s">
        <v>3</v>
      </c>
      <c r="G53" s="387" t="s">
        <v>81</v>
      </c>
      <c r="H53" s="391"/>
    </row>
    <row r="54" spans="2:8" x14ac:dyDescent="0.25">
      <c r="B54" s="386"/>
      <c r="C54" s="388"/>
      <c r="D54" s="390"/>
      <c r="E54" s="390"/>
      <c r="F54" s="390"/>
      <c r="G54" s="390"/>
      <c r="H54" s="392"/>
    </row>
    <row r="55" spans="2:8" x14ac:dyDescent="0.25">
      <c r="B55" s="386"/>
      <c r="C55" s="388"/>
      <c r="D55" s="66" t="s">
        <v>179</v>
      </c>
      <c r="E55" s="27" t="s">
        <v>82</v>
      </c>
      <c r="F55" s="66" t="s">
        <v>179</v>
      </c>
      <c r="G55" s="66" t="s">
        <v>179</v>
      </c>
      <c r="H55" s="18" t="s">
        <v>82</v>
      </c>
    </row>
    <row r="56" spans="2:8" ht="15.75" thickBot="1" x14ac:dyDescent="0.3">
      <c r="B56" s="36">
        <v>1</v>
      </c>
      <c r="C56" s="37">
        <v>2</v>
      </c>
      <c r="D56" s="37">
        <v>3</v>
      </c>
      <c r="E56" s="37">
        <v>4</v>
      </c>
      <c r="F56" s="37">
        <v>5</v>
      </c>
      <c r="G56" s="37">
        <v>6</v>
      </c>
      <c r="H56" s="38">
        <v>7</v>
      </c>
    </row>
    <row r="57" spans="2:8" x14ac:dyDescent="0.25">
      <c r="B57" s="32">
        <v>1</v>
      </c>
      <c r="C57" s="33" t="s">
        <v>181</v>
      </c>
      <c r="D57" s="34">
        <v>481</v>
      </c>
      <c r="E57" s="34">
        <f>D57/F5</f>
        <v>1.0327428878153517E-2</v>
      </c>
      <c r="F57" s="34">
        <f t="shared" ref="F57:F100" si="6">D57*19%</f>
        <v>91.39</v>
      </c>
      <c r="G57" s="34">
        <f t="shared" ref="G57:G100" si="7">D57+F57</f>
        <v>572.39</v>
      </c>
      <c r="H57" s="35">
        <f t="shared" ref="H57:H100" si="8">E57*1.19</f>
        <v>1.2289640365002684E-2</v>
      </c>
    </row>
    <row r="58" spans="2:8" x14ac:dyDescent="0.25">
      <c r="B58" s="19">
        <v>2</v>
      </c>
      <c r="C58" s="16" t="s">
        <v>182</v>
      </c>
      <c r="D58" s="20">
        <v>360</v>
      </c>
      <c r="E58" s="20">
        <f>D58/F5</f>
        <v>7.7294685990338162E-3</v>
      </c>
      <c r="F58" s="20">
        <f t="shared" si="6"/>
        <v>68.400000000000006</v>
      </c>
      <c r="G58" s="20">
        <f t="shared" si="7"/>
        <v>428.4</v>
      </c>
      <c r="H58" s="21">
        <f t="shared" si="8"/>
        <v>9.1980676328502417E-3</v>
      </c>
    </row>
    <row r="59" spans="2:8" x14ac:dyDescent="0.25">
      <c r="B59" s="19">
        <v>3</v>
      </c>
      <c r="C59" s="16" t="s">
        <v>183</v>
      </c>
      <c r="D59" s="20">
        <v>990</v>
      </c>
      <c r="E59" s="20">
        <f>D59/F5</f>
        <v>2.1256038647342997E-2</v>
      </c>
      <c r="F59" s="20">
        <f t="shared" si="6"/>
        <v>188.1</v>
      </c>
      <c r="G59" s="20">
        <f t="shared" si="7"/>
        <v>1178.0999999999999</v>
      </c>
      <c r="H59" s="21">
        <f t="shared" si="8"/>
        <v>2.5294685990338166E-2</v>
      </c>
    </row>
    <row r="60" spans="2:8" x14ac:dyDescent="0.25">
      <c r="B60" s="19">
        <v>4</v>
      </c>
      <c r="C60" s="16" t="s">
        <v>184</v>
      </c>
      <c r="D60" s="20">
        <v>336</v>
      </c>
      <c r="E60" s="20">
        <f>D60/F5</f>
        <v>7.2141706924315624E-3</v>
      </c>
      <c r="F60" s="20">
        <f t="shared" si="6"/>
        <v>63.84</v>
      </c>
      <c r="G60" s="20">
        <f t="shared" si="7"/>
        <v>399.84000000000003</v>
      </c>
      <c r="H60" s="21">
        <f t="shared" si="8"/>
        <v>8.5848631239935583E-3</v>
      </c>
    </row>
    <row r="61" spans="2:8" x14ac:dyDescent="0.25">
      <c r="B61" s="19">
        <v>5</v>
      </c>
      <c r="C61" s="17" t="s">
        <v>185</v>
      </c>
      <c r="D61" s="20">
        <v>2250</v>
      </c>
      <c r="E61" s="20">
        <f>D61/F5</f>
        <v>4.8309178743961352E-2</v>
      </c>
      <c r="F61" s="20">
        <f t="shared" si="6"/>
        <v>427.5</v>
      </c>
      <c r="G61" s="20">
        <f t="shared" si="7"/>
        <v>2677.5</v>
      </c>
      <c r="H61" s="21">
        <f t="shared" si="8"/>
        <v>5.7487922705314005E-2</v>
      </c>
    </row>
    <row r="62" spans="2:8" x14ac:dyDescent="0.25">
      <c r="B62" s="19">
        <v>6</v>
      </c>
      <c r="C62" s="16" t="s">
        <v>186</v>
      </c>
      <c r="D62" s="20">
        <v>723</v>
      </c>
      <c r="E62" s="20">
        <f>D62/F5</f>
        <v>1.5523349436392915E-2</v>
      </c>
      <c r="F62" s="20">
        <f t="shared" si="6"/>
        <v>137.37</v>
      </c>
      <c r="G62" s="20">
        <f t="shared" si="7"/>
        <v>860.37</v>
      </c>
      <c r="H62" s="21">
        <f t="shared" si="8"/>
        <v>1.8472785829307569E-2</v>
      </c>
    </row>
    <row r="63" spans="2:8" x14ac:dyDescent="0.25">
      <c r="B63" s="19">
        <v>7</v>
      </c>
      <c r="C63" s="16" t="s">
        <v>187</v>
      </c>
      <c r="D63" s="20">
        <v>204</v>
      </c>
      <c r="E63" s="20">
        <f>D63/F5</f>
        <v>4.3800322061191624E-3</v>
      </c>
      <c r="F63" s="20">
        <f t="shared" si="6"/>
        <v>38.76</v>
      </c>
      <c r="G63" s="20">
        <f t="shared" si="7"/>
        <v>242.76</v>
      </c>
      <c r="H63" s="21">
        <f t="shared" si="8"/>
        <v>5.2122383252818033E-3</v>
      </c>
    </row>
    <row r="64" spans="2:8" x14ac:dyDescent="0.25">
      <c r="B64" s="19">
        <v>8</v>
      </c>
      <c r="C64" s="16" t="s">
        <v>188</v>
      </c>
      <c r="D64" s="20">
        <v>531</v>
      </c>
      <c r="E64" s="20">
        <f>D64/F5</f>
        <v>1.1400966183574879E-2</v>
      </c>
      <c r="F64" s="20">
        <f t="shared" si="6"/>
        <v>100.89</v>
      </c>
      <c r="G64" s="20">
        <f t="shared" si="7"/>
        <v>631.89</v>
      </c>
      <c r="H64" s="21">
        <f t="shared" si="8"/>
        <v>1.3567149758454106E-2</v>
      </c>
    </row>
    <row r="65" spans="2:8" ht="45" x14ac:dyDescent="0.25">
      <c r="B65" s="19">
        <v>9</v>
      </c>
      <c r="C65" s="69" t="s">
        <v>189</v>
      </c>
      <c r="D65" s="20">
        <v>2010</v>
      </c>
      <c r="E65" s="20">
        <f>D65/F5</f>
        <v>4.3156199677938809E-2</v>
      </c>
      <c r="F65" s="20">
        <f t="shared" si="6"/>
        <v>381.9</v>
      </c>
      <c r="G65" s="20">
        <f t="shared" si="7"/>
        <v>2391.9</v>
      </c>
      <c r="H65" s="21">
        <f t="shared" si="8"/>
        <v>5.1355877616747182E-2</v>
      </c>
    </row>
    <row r="66" spans="2:8" x14ac:dyDescent="0.25">
      <c r="B66" s="19">
        <v>10</v>
      </c>
      <c r="C66" s="68" t="s">
        <v>190</v>
      </c>
      <c r="D66" s="20">
        <v>1701.3</v>
      </c>
      <c r="E66" s="20">
        <f>D66/F5</f>
        <v>3.652818035426731E-2</v>
      </c>
      <c r="F66" s="20">
        <f t="shared" si="6"/>
        <v>323.24700000000001</v>
      </c>
      <c r="G66" s="20">
        <f t="shared" si="7"/>
        <v>2024.547</v>
      </c>
      <c r="H66" s="21">
        <f t="shared" si="8"/>
        <v>4.3468534621578098E-2</v>
      </c>
    </row>
    <row r="67" spans="2:8" x14ac:dyDescent="0.25">
      <c r="B67" s="19">
        <v>11</v>
      </c>
      <c r="C67" s="68" t="s">
        <v>191</v>
      </c>
      <c r="D67" s="20">
        <v>265</v>
      </c>
      <c r="E67" s="20">
        <f>D67/F5</f>
        <v>5.6897477187332259E-3</v>
      </c>
      <c r="F67" s="20">
        <f t="shared" si="6"/>
        <v>50.35</v>
      </c>
      <c r="G67" s="20">
        <f t="shared" si="7"/>
        <v>315.35000000000002</v>
      </c>
      <c r="H67" s="21">
        <f t="shared" si="8"/>
        <v>6.7707997852925386E-3</v>
      </c>
    </row>
    <row r="68" spans="2:8" x14ac:dyDescent="0.25">
      <c r="B68" s="19">
        <v>12</v>
      </c>
      <c r="C68" s="68" t="s">
        <v>192</v>
      </c>
      <c r="D68" s="20">
        <v>210</v>
      </c>
      <c r="E68" s="20">
        <f>D68/F5</f>
        <v>4.5088566827697265E-3</v>
      </c>
      <c r="F68" s="20">
        <f t="shared" si="6"/>
        <v>39.9</v>
      </c>
      <c r="G68" s="20">
        <f t="shared" si="7"/>
        <v>249.9</v>
      </c>
      <c r="H68" s="21">
        <f t="shared" si="8"/>
        <v>5.3655394524959746E-3</v>
      </c>
    </row>
    <row r="69" spans="2:8" x14ac:dyDescent="0.25">
      <c r="B69" s="19">
        <v>13</v>
      </c>
      <c r="C69" s="68" t="s">
        <v>193</v>
      </c>
      <c r="D69" s="20">
        <v>3120</v>
      </c>
      <c r="E69" s="20">
        <f>D69/F5</f>
        <v>6.6988727858293073E-2</v>
      </c>
      <c r="F69" s="20">
        <f t="shared" si="6"/>
        <v>592.79999999999995</v>
      </c>
      <c r="G69" s="20">
        <f t="shared" si="7"/>
        <v>3712.8</v>
      </c>
      <c r="H69" s="21">
        <f t="shared" si="8"/>
        <v>7.9716586151368757E-2</v>
      </c>
    </row>
    <row r="70" spans="2:8" x14ac:dyDescent="0.25">
      <c r="B70" s="19">
        <v>14</v>
      </c>
      <c r="C70" s="68" t="s">
        <v>197</v>
      </c>
      <c r="D70" s="20">
        <v>6300</v>
      </c>
      <c r="E70" s="20">
        <f>D70/F5</f>
        <v>0.13526570048309178</v>
      </c>
      <c r="F70" s="20">
        <f t="shared" si="6"/>
        <v>1197</v>
      </c>
      <c r="G70" s="20">
        <f t="shared" si="7"/>
        <v>7497</v>
      </c>
      <c r="H70" s="21">
        <f t="shared" si="8"/>
        <v>0.16096618357487921</v>
      </c>
    </row>
    <row r="71" spans="2:8" ht="30" x14ac:dyDescent="0.25">
      <c r="B71" s="19">
        <v>15</v>
      </c>
      <c r="C71" s="68" t="s">
        <v>221</v>
      </c>
      <c r="D71" s="20">
        <v>4568.07</v>
      </c>
      <c r="E71" s="20">
        <f>D71/F5</f>
        <v>9.8079871175523345E-2</v>
      </c>
      <c r="F71" s="20">
        <f t="shared" si="6"/>
        <v>867.93329999999992</v>
      </c>
      <c r="G71" s="20">
        <f t="shared" si="7"/>
        <v>5436.0032999999994</v>
      </c>
      <c r="H71" s="21">
        <f t="shared" si="8"/>
        <v>0.11671504669887278</v>
      </c>
    </row>
    <row r="72" spans="2:8" ht="30" x14ac:dyDescent="0.25">
      <c r="B72" s="19">
        <v>16</v>
      </c>
      <c r="C72" s="68" t="s">
        <v>194</v>
      </c>
      <c r="D72" s="20">
        <v>747.06</v>
      </c>
      <c r="E72" s="20">
        <f>D72/F5</f>
        <v>1.6039935587761674E-2</v>
      </c>
      <c r="F72" s="20">
        <f t="shared" si="6"/>
        <v>141.94139999999999</v>
      </c>
      <c r="G72" s="20">
        <f t="shared" si="7"/>
        <v>889.00139999999988</v>
      </c>
      <c r="H72" s="21">
        <f t="shared" si="8"/>
        <v>1.9087523349436392E-2</v>
      </c>
    </row>
    <row r="73" spans="2:8" x14ac:dyDescent="0.25">
      <c r="B73" s="19">
        <v>17</v>
      </c>
      <c r="C73" s="68" t="s">
        <v>195</v>
      </c>
      <c r="D73" s="20">
        <v>860</v>
      </c>
      <c r="E73" s="20">
        <f>D73/F5</f>
        <v>1.8464841653247452E-2</v>
      </c>
      <c r="F73" s="20">
        <f t="shared" si="6"/>
        <v>163.4</v>
      </c>
      <c r="G73" s="20">
        <f t="shared" si="7"/>
        <v>1023.4</v>
      </c>
      <c r="H73" s="21">
        <f t="shared" si="8"/>
        <v>2.1973161567364466E-2</v>
      </c>
    </row>
    <row r="74" spans="2:8" x14ac:dyDescent="0.25">
      <c r="B74" s="19">
        <v>18</v>
      </c>
      <c r="C74" s="68" t="s">
        <v>196</v>
      </c>
      <c r="D74" s="20">
        <v>550</v>
      </c>
      <c r="E74" s="20">
        <f>D74/F5</f>
        <v>1.1808910359634998E-2</v>
      </c>
      <c r="F74" s="20">
        <f t="shared" si="6"/>
        <v>104.5</v>
      </c>
      <c r="G74" s="20">
        <f t="shared" si="7"/>
        <v>654.5</v>
      </c>
      <c r="H74" s="21">
        <f t="shared" si="8"/>
        <v>1.4052603327965646E-2</v>
      </c>
    </row>
    <row r="75" spans="2:8" x14ac:dyDescent="0.25">
      <c r="B75" s="19">
        <v>19</v>
      </c>
      <c r="C75" s="16" t="s">
        <v>198</v>
      </c>
      <c r="D75" s="20">
        <v>210</v>
      </c>
      <c r="E75" s="20">
        <f>D75/F5</f>
        <v>4.5088566827697265E-3</v>
      </c>
      <c r="F75" s="20">
        <f t="shared" si="6"/>
        <v>39.9</v>
      </c>
      <c r="G75" s="20">
        <f t="shared" si="7"/>
        <v>249.9</v>
      </c>
      <c r="H75" s="21">
        <f t="shared" si="8"/>
        <v>5.3655394524959746E-3</v>
      </c>
    </row>
    <row r="76" spans="2:8" x14ac:dyDescent="0.25">
      <c r="B76" s="19">
        <v>20</v>
      </c>
      <c r="C76" s="16" t="s">
        <v>199</v>
      </c>
      <c r="D76" s="20">
        <v>60</v>
      </c>
      <c r="E76" s="20">
        <f>D76/F5</f>
        <v>1.2882447665056361E-3</v>
      </c>
      <c r="F76" s="20">
        <f t="shared" si="6"/>
        <v>11.4</v>
      </c>
      <c r="G76" s="20">
        <f t="shared" si="7"/>
        <v>71.400000000000006</v>
      </c>
      <c r="H76" s="21">
        <f t="shared" si="8"/>
        <v>1.5330112721417069E-3</v>
      </c>
    </row>
    <row r="77" spans="2:8" x14ac:dyDescent="0.25">
      <c r="B77" s="19">
        <v>21</v>
      </c>
      <c r="C77" s="16" t="s">
        <v>200</v>
      </c>
      <c r="D77" s="20">
        <v>810</v>
      </c>
      <c r="E77" s="20">
        <f>D77/F5</f>
        <v>1.7391304347826087E-2</v>
      </c>
      <c r="F77" s="20">
        <f t="shared" si="6"/>
        <v>153.9</v>
      </c>
      <c r="G77" s="20">
        <f t="shared" si="7"/>
        <v>963.9</v>
      </c>
      <c r="H77" s="21">
        <f t="shared" si="8"/>
        <v>2.0695652173913042E-2</v>
      </c>
    </row>
    <row r="78" spans="2:8" x14ac:dyDescent="0.25">
      <c r="B78" s="19">
        <v>22</v>
      </c>
      <c r="C78" s="16" t="s">
        <v>201</v>
      </c>
      <c r="D78" s="20">
        <v>6016.8</v>
      </c>
      <c r="E78" s="20">
        <f>D78/F5</f>
        <v>0.12918518518518518</v>
      </c>
      <c r="F78" s="20">
        <f t="shared" si="6"/>
        <v>1143.192</v>
      </c>
      <c r="G78" s="20">
        <f t="shared" si="7"/>
        <v>7159.9920000000002</v>
      </c>
      <c r="H78" s="21">
        <f t="shared" si="8"/>
        <v>0.15373037037037035</v>
      </c>
    </row>
    <row r="79" spans="2:8" x14ac:dyDescent="0.25">
      <c r="B79" s="19">
        <v>23</v>
      </c>
      <c r="C79" s="16" t="s">
        <v>202</v>
      </c>
      <c r="D79" s="20">
        <v>121.02</v>
      </c>
      <c r="E79" s="20">
        <f>D79/F5</f>
        <v>2.5983896940418678E-3</v>
      </c>
      <c r="F79" s="20">
        <f t="shared" si="6"/>
        <v>22.9938</v>
      </c>
      <c r="G79" s="20">
        <f t="shared" si="7"/>
        <v>144.0138</v>
      </c>
      <c r="H79" s="21">
        <f t="shared" si="8"/>
        <v>3.0920837359098225E-3</v>
      </c>
    </row>
    <row r="80" spans="2:8" x14ac:dyDescent="0.25">
      <c r="B80" s="19">
        <v>24</v>
      </c>
      <c r="C80" s="16" t="s">
        <v>203</v>
      </c>
      <c r="D80" s="20">
        <v>220</v>
      </c>
      <c r="E80" s="20">
        <f>D80/F5</f>
        <v>4.7235641438539986E-3</v>
      </c>
      <c r="F80" s="20">
        <f t="shared" si="6"/>
        <v>41.8</v>
      </c>
      <c r="G80" s="20">
        <f t="shared" si="7"/>
        <v>261.8</v>
      </c>
      <c r="H80" s="21">
        <f t="shared" si="8"/>
        <v>5.6210413311862583E-3</v>
      </c>
    </row>
    <row r="81" spans="2:10" x14ac:dyDescent="0.25">
      <c r="B81" s="19">
        <v>25</v>
      </c>
      <c r="C81" s="16" t="s">
        <v>204</v>
      </c>
      <c r="D81" s="20">
        <v>597.12</v>
      </c>
      <c r="E81" s="20">
        <f>D81/F5</f>
        <v>1.282061191626409E-2</v>
      </c>
      <c r="F81" s="20">
        <f t="shared" si="6"/>
        <v>113.4528</v>
      </c>
      <c r="G81" s="20">
        <f t="shared" si="7"/>
        <v>710.57280000000003</v>
      </c>
      <c r="H81" s="21">
        <f t="shared" si="8"/>
        <v>1.5256528180354266E-2</v>
      </c>
    </row>
    <row r="82" spans="2:10" ht="25.5" x14ac:dyDescent="0.25">
      <c r="B82" s="19">
        <v>26</v>
      </c>
      <c r="C82" s="16" t="s">
        <v>205</v>
      </c>
      <c r="D82" s="20">
        <v>983.19</v>
      </c>
      <c r="E82" s="20">
        <f>D82/F5</f>
        <v>2.1109822866344607E-2</v>
      </c>
      <c r="F82" s="20">
        <f t="shared" si="6"/>
        <v>186.80610000000001</v>
      </c>
      <c r="G82" s="20">
        <f t="shared" si="7"/>
        <v>1169.9961000000001</v>
      </c>
      <c r="H82" s="21">
        <f t="shared" si="8"/>
        <v>2.5120689210950082E-2</v>
      </c>
    </row>
    <row r="83" spans="2:10" x14ac:dyDescent="0.25">
      <c r="B83" s="19">
        <v>27</v>
      </c>
      <c r="C83" s="16" t="s">
        <v>206</v>
      </c>
      <c r="D83" s="20">
        <v>880</v>
      </c>
      <c r="E83" s="20">
        <f>D83/F5</f>
        <v>1.8894256575415994E-2</v>
      </c>
      <c r="F83" s="20">
        <f t="shared" si="6"/>
        <v>167.2</v>
      </c>
      <c r="G83" s="20">
        <f t="shared" si="7"/>
        <v>1047.2</v>
      </c>
      <c r="H83" s="21">
        <f t="shared" si="8"/>
        <v>2.2484165324745033E-2</v>
      </c>
    </row>
    <row r="84" spans="2:10" x14ac:dyDescent="0.25">
      <c r="B84" s="19">
        <v>28</v>
      </c>
      <c r="C84" s="16" t="s">
        <v>207</v>
      </c>
      <c r="D84" s="20">
        <v>630</v>
      </c>
      <c r="E84" s="20">
        <f>D84/F5</f>
        <v>1.3526570048309179E-2</v>
      </c>
      <c r="F84" s="20">
        <f t="shared" si="6"/>
        <v>119.7</v>
      </c>
      <c r="G84" s="20">
        <f t="shared" si="7"/>
        <v>749.7</v>
      </c>
      <c r="H84" s="21">
        <f t="shared" si="8"/>
        <v>1.6096618357487921E-2</v>
      </c>
    </row>
    <row r="85" spans="2:10" ht="25.5" x14ac:dyDescent="0.25">
      <c r="B85" s="19">
        <v>29</v>
      </c>
      <c r="C85" s="16" t="s">
        <v>208</v>
      </c>
      <c r="D85" s="20">
        <v>4502.5200000000004</v>
      </c>
      <c r="E85" s="20">
        <f>D85/F5</f>
        <v>9.6672463768115946E-2</v>
      </c>
      <c r="F85" s="20">
        <f t="shared" si="6"/>
        <v>855.47880000000009</v>
      </c>
      <c r="G85" s="20">
        <f t="shared" si="7"/>
        <v>5357.9988000000003</v>
      </c>
      <c r="H85" s="21">
        <f t="shared" si="8"/>
        <v>0.11504023188405797</v>
      </c>
    </row>
    <row r="86" spans="2:10" ht="25.5" x14ac:dyDescent="0.25">
      <c r="B86" s="19">
        <v>30</v>
      </c>
      <c r="C86" s="16" t="s">
        <v>209</v>
      </c>
      <c r="D86" s="20">
        <v>5184</v>
      </c>
      <c r="E86" s="20">
        <f>D86/F5</f>
        <v>0.11130434782608696</v>
      </c>
      <c r="F86" s="20">
        <f t="shared" si="6"/>
        <v>984.96</v>
      </c>
      <c r="G86" s="20">
        <f t="shared" si="7"/>
        <v>6168.96</v>
      </c>
      <c r="H86" s="21">
        <f t="shared" si="8"/>
        <v>0.13245217391304348</v>
      </c>
    </row>
    <row r="87" spans="2:10" x14ac:dyDescent="0.25">
      <c r="B87" s="19">
        <v>31</v>
      </c>
      <c r="C87" s="16" t="s">
        <v>211</v>
      </c>
      <c r="D87" s="20">
        <v>4568.07</v>
      </c>
      <c r="E87" s="20">
        <f>D87/F5</f>
        <v>9.8079871175523345E-2</v>
      </c>
      <c r="F87" s="20">
        <f t="shared" si="6"/>
        <v>867.93329999999992</v>
      </c>
      <c r="G87" s="20">
        <f t="shared" si="7"/>
        <v>5436.0032999999994</v>
      </c>
      <c r="H87" s="21">
        <f t="shared" si="8"/>
        <v>0.11671504669887278</v>
      </c>
    </row>
    <row r="88" spans="2:10" x14ac:dyDescent="0.25">
      <c r="B88" s="19">
        <v>32</v>
      </c>
      <c r="C88" s="16" t="s">
        <v>214</v>
      </c>
      <c r="D88" s="20">
        <v>240</v>
      </c>
      <c r="E88" s="20">
        <f>D88/F5</f>
        <v>5.1529790660225444E-3</v>
      </c>
      <c r="F88" s="20">
        <f t="shared" si="6"/>
        <v>45.6</v>
      </c>
      <c r="G88" s="20">
        <f t="shared" si="7"/>
        <v>285.60000000000002</v>
      </c>
      <c r="H88" s="21">
        <f t="shared" si="8"/>
        <v>6.1320450885668275E-3</v>
      </c>
    </row>
    <row r="89" spans="2:10" ht="63.75" x14ac:dyDescent="0.25">
      <c r="B89" s="19">
        <v>33</v>
      </c>
      <c r="C89" s="16" t="s">
        <v>212</v>
      </c>
      <c r="D89" s="20">
        <v>520</v>
      </c>
      <c r="E89" s="20">
        <f>D89/F5</f>
        <v>1.1164787976382179E-2</v>
      </c>
      <c r="F89" s="20">
        <f t="shared" si="6"/>
        <v>98.8</v>
      </c>
      <c r="G89" s="20">
        <f t="shared" si="7"/>
        <v>618.79999999999995</v>
      </c>
      <c r="H89" s="21">
        <f t="shared" si="8"/>
        <v>1.3286097691894792E-2</v>
      </c>
    </row>
    <row r="90" spans="2:10" ht="25.5" x14ac:dyDescent="0.25">
      <c r="B90" s="19">
        <v>34</v>
      </c>
      <c r="C90" s="16" t="s">
        <v>215</v>
      </c>
      <c r="D90" s="20">
        <v>942</v>
      </c>
      <c r="E90" s="20"/>
      <c r="F90" s="20">
        <f t="shared" si="6"/>
        <v>178.98</v>
      </c>
      <c r="G90" s="20">
        <f t="shared" si="7"/>
        <v>1120.98</v>
      </c>
      <c r="H90" s="21"/>
    </row>
    <row r="91" spans="2:10" ht="25.5" x14ac:dyDescent="0.25">
      <c r="B91" s="19">
        <v>35</v>
      </c>
      <c r="C91" s="16" t="s">
        <v>216</v>
      </c>
      <c r="D91" s="20">
        <v>658.82</v>
      </c>
      <c r="E91" s="20"/>
      <c r="F91" s="20">
        <f t="shared" si="6"/>
        <v>125.17580000000001</v>
      </c>
      <c r="G91" s="20">
        <f t="shared" si="7"/>
        <v>783.99580000000003</v>
      </c>
      <c r="H91" s="21"/>
    </row>
    <row r="92" spans="2:10" x14ac:dyDescent="0.25">
      <c r="B92" s="19">
        <v>36</v>
      </c>
      <c r="C92" s="16" t="s">
        <v>210</v>
      </c>
      <c r="D92" s="20">
        <v>1710</v>
      </c>
      <c r="E92" s="20"/>
      <c r="F92" s="20">
        <f t="shared" si="6"/>
        <v>324.89999999999998</v>
      </c>
      <c r="G92" s="20">
        <f t="shared" si="7"/>
        <v>2034.9</v>
      </c>
      <c r="H92" s="21"/>
      <c r="J92" s="67"/>
    </row>
    <row r="93" spans="2:10" x14ac:dyDescent="0.25">
      <c r="B93" s="19">
        <v>37</v>
      </c>
      <c r="C93" s="16" t="s">
        <v>213</v>
      </c>
      <c r="D93" s="20">
        <v>517</v>
      </c>
      <c r="E93" s="20"/>
      <c r="F93" s="20">
        <f t="shared" si="6"/>
        <v>98.23</v>
      </c>
      <c r="G93" s="20">
        <f t="shared" si="7"/>
        <v>615.23</v>
      </c>
      <c r="H93" s="21"/>
      <c r="J93" s="67"/>
    </row>
    <row r="94" spans="2:10" ht="25.5" customHeight="1" x14ac:dyDescent="0.25">
      <c r="B94" s="19">
        <v>38</v>
      </c>
      <c r="C94" s="16" t="s">
        <v>220</v>
      </c>
      <c r="D94" s="20">
        <v>1761</v>
      </c>
      <c r="E94" s="20"/>
      <c r="F94" s="20">
        <f t="shared" si="6"/>
        <v>334.59000000000003</v>
      </c>
      <c r="G94" s="20">
        <f t="shared" si="7"/>
        <v>2095.59</v>
      </c>
      <c r="H94" s="21"/>
      <c r="J94" s="67"/>
    </row>
    <row r="95" spans="2:10" ht="24.75" customHeight="1" x14ac:dyDescent="0.25">
      <c r="B95" s="19">
        <v>39</v>
      </c>
      <c r="C95" s="16" t="s">
        <v>249</v>
      </c>
      <c r="D95" s="20">
        <v>440</v>
      </c>
      <c r="E95" s="20"/>
      <c r="F95" s="20">
        <f t="shared" si="6"/>
        <v>83.6</v>
      </c>
      <c r="G95" s="20">
        <f t="shared" si="7"/>
        <v>523.6</v>
      </c>
      <c r="H95" s="21"/>
    </row>
    <row r="96" spans="2:10" x14ac:dyDescent="0.25">
      <c r="B96" s="19">
        <v>40</v>
      </c>
      <c r="C96" s="16"/>
      <c r="D96" s="20"/>
      <c r="E96" s="20"/>
      <c r="F96" s="20">
        <f t="shared" si="6"/>
        <v>0</v>
      </c>
      <c r="G96" s="20">
        <f t="shared" si="7"/>
        <v>0</v>
      </c>
      <c r="H96" s="21"/>
    </row>
    <row r="97" spans="2:9" x14ac:dyDescent="0.25">
      <c r="B97" s="19">
        <v>41</v>
      </c>
      <c r="C97" s="16"/>
      <c r="D97" s="20"/>
      <c r="E97" s="20"/>
      <c r="F97" s="20">
        <f t="shared" si="6"/>
        <v>0</v>
      </c>
      <c r="G97" s="20">
        <f t="shared" si="7"/>
        <v>0</v>
      </c>
      <c r="H97" s="21"/>
      <c r="I97" s="22" t="str">
        <f t="shared" ref="I97:I98" si="9">UPPER(C97:C99)</f>
        <v/>
      </c>
    </row>
    <row r="98" spans="2:9" x14ac:dyDescent="0.25">
      <c r="B98" s="19">
        <v>42</v>
      </c>
      <c r="C98" s="16"/>
      <c r="D98" s="20"/>
      <c r="E98" s="20"/>
      <c r="F98" s="20">
        <f t="shared" si="6"/>
        <v>0</v>
      </c>
      <c r="G98" s="20">
        <f t="shared" si="7"/>
        <v>0</v>
      </c>
      <c r="H98" s="21"/>
      <c r="I98" s="22" t="str">
        <f t="shared" si="9"/>
        <v/>
      </c>
    </row>
    <row r="99" spans="2:9" x14ac:dyDescent="0.25">
      <c r="B99" s="19">
        <v>43</v>
      </c>
      <c r="C99" s="16"/>
      <c r="D99" s="20"/>
      <c r="E99" s="20">
        <f>D99/F5</f>
        <v>0</v>
      </c>
      <c r="F99" s="20">
        <f>D99*19%</f>
        <v>0</v>
      </c>
      <c r="G99" s="20">
        <f>D99+F99</f>
        <v>0</v>
      </c>
      <c r="H99" s="21">
        <f t="shared" si="8"/>
        <v>0</v>
      </c>
      <c r="I99" s="22" t="str">
        <f t="shared" ref="I99" si="10">UPPER(C99:C106)</f>
        <v/>
      </c>
    </row>
    <row r="100" spans="2:9" ht="15.75" thickBot="1" x14ac:dyDescent="0.25">
      <c r="B100" s="394" t="s">
        <v>95</v>
      </c>
      <c r="C100" s="395"/>
      <c r="D100" s="30">
        <f>SUM(D57:D99)</f>
        <v>57777.97</v>
      </c>
      <c r="E100" s="30">
        <f>D100/F5</f>
        <v>1.2405361245303275</v>
      </c>
      <c r="F100" s="30">
        <f t="shared" si="6"/>
        <v>10977.8143</v>
      </c>
      <c r="G100" s="30">
        <f t="shared" si="7"/>
        <v>68755.784299999999</v>
      </c>
      <c r="H100" s="31">
        <f t="shared" si="8"/>
        <v>1.4762379881910896</v>
      </c>
      <c r="I100" s="67"/>
    </row>
    <row r="103" spans="2:9" ht="21" customHeight="1" thickBot="1" x14ac:dyDescent="0.3">
      <c r="B103" s="382" t="s">
        <v>91</v>
      </c>
      <c r="C103" s="382"/>
    </row>
    <row r="104" spans="2:9" ht="15" customHeight="1" x14ac:dyDescent="0.25">
      <c r="B104" s="385" t="s">
        <v>78</v>
      </c>
      <c r="C104" s="387" t="s">
        <v>79</v>
      </c>
      <c r="D104" s="387" t="s">
        <v>80</v>
      </c>
      <c r="E104" s="389"/>
      <c r="F104" s="387" t="s">
        <v>3</v>
      </c>
      <c r="G104" s="387" t="s">
        <v>81</v>
      </c>
      <c r="H104" s="391"/>
    </row>
    <row r="105" spans="2:9" x14ac:dyDescent="0.25">
      <c r="B105" s="386"/>
      <c r="C105" s="388"/>
      <c r="D105" s="390"/>
      <c r="E105" s="390"/>
      <c r="F105" s="390"/>
      <c r="G105" s="390"/>
      <c r="H105" s="392"/>
    </row>
    <row r="106" spans="2:9" x14ac:dyDescent="0.25">
      <c r="B106" s="386"/>
      <c r="C106" s="388"/>
      <c r="D106" s="66" t="s">
        <v>179</v>
      </c>
      <c r="E106" s="40" t="s">
        <v>82</v>
      </c>
      <c r="F106" s="66" t="s">
        <v>179</v>
      </c>
      <c r="G106" s="66" t="s">
        <v>179</v>
      </c>
      <c r="H106" s="18" t="s">
        <v>82</v>
      </c>
    </row>
    <row r="107" spans="2:9" x14ac:dyDescent="0.25">
      <c r="B107" s="42">
        <v>1</v>
      </c>
      <c r="C107" s="43">
        <v>2</v>
      </c>
      <c r="D107" s="43">
        <v>3</v>
      </c>
      <c r="E107" s="43">
        <v>4</v>
      </c>
      <c r="F107" s="43">
        <v>5</v>
      </c>
      <c r="G107" s="43">
        <v>6</v>
      </c>
      <c r="H107" s="44">
        <v>7</v>
      </c>
    </row>
    <row r="108" spans="2:9" x14ac:dyDescent="0.25">
      <c r="B108" s="41">
        <v>1</v>
      </c>
      <c r="C108" s="41" t="s">
        <v>219</v>
      </c>
      <c r="D108" s="45">
        <f>10%*D21</f>
        <v>6940.4759999999997</v>
      </c>
      <c r="E108" s="45">
        <f>D108/F5</f>
        <v>0.14901719806763283</v>
      </c>
      <c r="F108" s="45">
        <f>D108*0.19</f>
        <v>1318.6904399999999</v>
      </c>
      <c r="G108" s="45">
        <f>D108+F108</f>
        <v>8259.1664399999991</v>
      </c>
      <c r="H108" s="45">
        <f>E108*1.19</f>
        <v>0.17733046570048305</v>
      </c>
    </row>
    <row r="109" spans="2:9" x14ac:dyDescent="0.25">
      <c r="B109" s="41"/>
      <c r="C109" s="41"/>
      <c r="D109" s="41"/>
      <c r="E109" s="41"/>
      <c r="F109" s="41"/>
      <c r="G109" s="41"/>
      <c r="H109" s="41"/>
    </row>
    <row r="110" spans="2:9" x14ac:dyDescent="0.25">
      <c r="B110" s="41"/>
      <c r="C110" s="41"/>
      <c r="D110" s="41"/>
      <c r="E110" s="41"/>
      <c r="F110" s="41"/>
      <c r="G110" s="41"/>
      <c r="H110" s="41"/>
    </row>
    <row r="111" spans="2:9" x14ac:dyDescent="0.25">
      <c r="B111" s="383" t="s">
        <v>92</v>
      </c>
      <c r="C111" s="384"/>
      <c r="D111" s="45">
        <f>D108</f>
        <v>6940.4759999999997</v>
      </c>
      <c r="E111" s="45">
        <f>E108</f>
        <v>0.14901719806763283</v>
      </c>
      <c r="F111" s="45">
        <f>F108</f>
        <v>1318.6904399999999</v>
      </c>
      <c r="G111" s="45">
        <f>G108</f>
        <v>8259.1664399999991</v>
      </c>
      <c r="H111" s="45">
        <f>H108</f>
        <v>0.17733046570048305</v>
      </c>
    </row>
  </sheetData>
  <mergeCells count="31">
    <mergeCell ref="F27:F28"/>
    <mergeCell ref="G27:H28"/>
    <mergeCell ref="B100:C100"/>
    <mergeCell ref="B43:C43"/>
    <mergeCell ref="B51:H51"/>
    <mergeCell ref="B53:B55"/>
    <mergeCell ref="C53:C55"/>
    <mergeCell ref="D53:E54"/>
    <mergeCell ref="F53:F54"/>
    <mergeCell ref="G53:H54"/>
    <mergeCell ref="F104:F105"/>
    <mergeCell ref="G104:H105"/>
    <mergeCell ref="B2:G2"/>
    <mergeCell ref="B3:H3"/>
    <mergeCell ref="B4:H4"/>
    <mergeCell ref="B21:C21"/>
    <mergeCell ref="B6:H6"/>
    <mergeCell ref="B8:B10"/>
    <mergeCell ref="C8:C10"/>
    <mergeCell ref="D8:E9"/>
    <mergeCell ref="F8:F9"/>
    <mergeCell ref="G8:H9"/>
    <mergeCell ref="B25:H25"/>
    <mergeCell ref="B27:B29"/>
    <mergeCell ref="C27:C29"/>
    <mergeCell ref="D27:E28"/>
    <mergeCell ref="B103:C103"/>
    <mergeCell ref="B111:C111"/>
    <mergeCell ref="B104:B106"/>
    <mergeCell ref="C104:C106"/>
    <mergeCell ref="D104:E105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Q81"/>
  <sheetViews>
    <sheetView topLeftCell="A53" workbookViewId="0">
      <selection activeCell="E78" sqref="E78"/>
    </sheetView>
  </sheetViews>
  <sheetFormatPr defaultRowHeight="15" x14ac:dyDescent="0.25"/>
  <cols>
    <col min="3" max="3" width="34.85546875" customWidth="1"/>
    <col min="4" max="4" width="12.7109375" customWidth="1"/>
    <col min="5" max="5" width="14.28515625" customWidth="1"/>
    <col min="6" max="6" width="23.42578125" customWidth="1"/>
    <col min="7" max="7" width="10.28515625" customWidth="1"/>
    <col min="8" max="8" width="22.7109375" customWidth="1"/>
    <col min="9" max="9" width="10.42578125" customWidth="1"/>
    <col min="10" max="10" width="32.140625" customWidth="1"/>
    <col min="12" max="12" width="24.85546875" customWidth="1"/>
    <col min="13" max="13" width="15" customWidth="1"/>
  </cols>
  <sheetData>
    <row r="1" spans="1:17" ht="45" x14ac:dyDescent="0.25">
      <c r="A1" s="72"/>
      <c r="B1" s="73" t="s">
        <v>222</v>
      </c>
      <c r="C1" s="74" t="s">
        <v>223</v>
      </c>
      <c r="D1" s="74" t="s">
        <v>224</v>
      </c>
      <c r="E1" s="75" t="s">
        <v>225</v>
      </c>
      <c r="F1" s="75" t="s">
        <v>226</v>
      </c>
      <c r="G1" s="74" t="s">
        <v>227</v>
      </c>
      <c r="H1" s="75" t="s">
        <v>226</v>
      </c>
      <c r="I1" s="74" t="s">
        <v>228</v>
      </c>
      <c r="J1" s="75" t="s">
        <v>226</v>
      </c>
      <c r="K1" s="74" t="s">
        <v>229</v>
      </c>
      <c r="L1" s="75" t="s">
        <v>226</v>
      </c>
      <c r="M1" s="74" t="s">
        <v>230</v>
      </c>
      <c r="N1" s="74" t="s">
        <v>231</v>
      </c>
      <c r="O1" s="74" t="s">
        <v>232</v>
      </c>
      <c r="P1" s="76" t="s">
        <v>233</v>
      </c>
      <c r="Q1" s="77"/>
    </row>
    <row r="2" spans="1:17" ht="19.5" customHeight="1" x14ac:dyDescent="0.25">
      <c r="A2" s="72"/>
      <c r="B2" s="78">
        <v>1</v>
      </c>
      <c r="C2" s="79" t="s">
        <v>234</v>
      </c>
      <c r="D2" s="80" t="s">
        <v>235</v>
      </c>
      <c r="E2" s="81">
        <v>1</v>
      </c>
      <c r="F2" s="81" t="s">
        <v>236</v>
      </c>
      <c r="G2" s="82">
        <v>1115</v>
      </c>
      <c r="H2" s="82" t="s">
        <v>237</v>
      </c>
      <c r="I2" s="83">
        <v>481</v>
      </c>
      <c r="J2" s="82"/>
      <c r="K2" s="82"/>
      <c r="L2" s="82"/>
      <c r="M2" s="82"/>
      <c r="N2" s="82"/>
      <c r="O2" s="82"/>
      <c r="P2" s="84"/>
      <c r="Q2" s="77"/>
    </row>
    <row r="3" spans="1:17" ht="22.5" customHeight="1" x14ac:dyDescent="0.25">
      <c r="A3" s="72"/>
      <c r="B3" s="78">
        <v>2</v>
      </c>
      <c r="C3" s="68" t="s">
        <v>238</v>
      </c>
      <c r="D3" s="80" t="s">
        <v>235</v>
      </c>
      <c r="E3" s="81">
        <v>6</v>
      </c>
      <c r="F3" s="81" t="s">
        <v>236</v>
      </c>
      <c r="G3" s="83">
        <v>360</v>
      </c>
      <c r="H3" s="82" t="s">
        <v>237</v>
      </c>
      <c r="I3" s="82">
        <v>450</v>
      </c>
      <c r="J3" s="82" t="s">
        <v>239</v>
      </c>
      <c r="K3" s="85">
        <v>574.98</v>
      </c>
      <c r="L3" s="82"/>
      <c r="M3" s="82"/>
      <c r="N3" s="82"/>
      <c r="O3" s="82"/>
      <c r="P3" s="84"/>
      <c r="Q3" s="72"/>
    </row>
    <row r="4" spans="1:17" ht="19.5" customHeight="1" x14ac:dyDescent="0.25">
      <c r="A4" s="72"/>
      <c r="B4" s="78">
        <v>3</v>
      </c>
      <c r="C4" s="68" t="s">
        <v>240</v>
      </c>
      <c r="D4" s="80" t="s">
        <v>235</v>
      </c>
      <c r="E4" s="81">
        <v>9</v>
      </c>
      <c r="F4" s="81" t="s">
        <v>236</v>
      </c>
      <c r="G4" s="83">
        <v>990</v>
      </c>
      <c r="H4" s="82" t="s">
        <v>237</v>
      </c>
      <c r="I4" s="82">
        <v>1017</v>
      </c>
      <c r="J4" s="82" t="s">
        <v>239</v>
      </c>
      <c r="K4" s="85">
        <v>1043.7</v>
      </c>
      <c r="L4" s="82"/>
      <c r="M4" s="82"/>
      <c r="N4" s="82"/>
      <c r="O4" s="82"/>
      <c r="P4" s="84"/>
      <c r="Q4" s="77"/>
    </row>
    <row r="5" spans="1:17" ht="18.75" customHeight="1" x14ac:dyDescent="0.25">
      <c r="A5" s="72"/>
      <c r="B5" s="78">
        <v>4</v>
      </c>
      <c r="C5" s="86" t="s">
        <v>241</v>
      </c>
      <c r="D5" s="80" t="s">
        <v>235</v>
      </c>
      <c r="E5" s="87">
        <v>2</v>
      </c>
      <c r="F5" s="81" t="s">
        <v>236</v>
      </c>
      <c r="G5" s="83">
        <v>336</v>
      </c>
      <c r="H5" s="82" t="s">
        <v>237</v>
      </c>
      <c r="I5" s="82">
        <v>1100</v>
      </c>
      <c r="J5" s="82" t="s">
        <v>239</v>
      </c>
      <c r="K5" s="85">
        <v>485.72</v>
      </c>
      <c r="L5" s="82"/>
      <c r="M5" s="82"/>
      <c r="N5" s="82"/>
      <c r="O5" s="82"/>
      <c r="P5" s="84"/>
      <c r="Q5" s="88"/>
    </row>
    <row r="6" spans="1:17" ht="17.25" customHeight="1" x14ac:dyDescent="0.25">
      <c r="A6" s="72"/>
      <c r="B6" s="78">
        <v>5</v>
      </c>
      <c r="C6" s="68" t="s">
        <v>242</v>
      </c>
      <c r="D6" s="80" t="s">
        <v>235</v>
      </c>
      <c r="E6" s="81">
        <v>6</v>
      </c>
      <c r="F6" s="81" t="s">
        <v>236</v>
      </c>
      <c r="G6" s="83">
        <v>2250</v>
      </c>
      <c r="H6" s="82" t="s">
        <v>237</v>
      </c>
      <c r="I6" s="82">
        <v>3720</v>
      </c>
      <c r="J6" s="82"/>
      <c r="K6" s="85"/>
      <c r="L6" s="82"/>
      <c r="M6" s="82"/>
      <c r="N6" s="82"/>
      <c r="O6" s="82"/>
      <c r="P6" s="84"/>
      <c r="Q6" s="72"/>
    </row>
    <row r="7" spans="1:17" ht="15" customHeight="1" x14ac:dyDescent="0.25">
      <c r="A7" s="72"/>
      <c r="B7" s="78">
        <v>6</v>
      </c>
      <c r="C7" s="68" t="s">
        <v>243</v>
      </c>
      <c r="D7" s="80" t="s">
        <v>235</v>
      </c>
      <c r="E7" s="81">
        <v>3</v>
      </c>
      <c r="F7" s="81" t="s">
        <v>236</v>
      </c>
      <c r="G7" s="82">
        <v>930</v>
      </c>
      <c r="H7" s="82" t="s">
        <v>237</v>
      </c>
      <c r="I7" s="83">
        <v>723</v>
      </c>
      <c r="J7" s="82"/>
      <c r="K7" s="85"/>
      <c r="L7" s="82"/>
      <c r="M7" s="82"/>
      <c r="N7" s="82"/>
      <c r="O7" s="82"/>
      <c r="P7" s="84"/>
      <c r="Q7" s="72"/>
    </row>
    <row r="8" spans="1:17" ht="19.5" customHeight="1" x14ac:dyDescent="0.25">
      <c r="A8" s="72"/>
      <c r="B8" s="78">
        <v>7</v>
      </c>
      <c r="C8" s="68" t="s">
        <v>244</v>
      </c>
      <c r="D8" s="80" t="s">
        <v>235</v>
      </c>
      <c r="E8" s="81">
        <v>3</v>
      </c>
      <c r="F8" s="81" t="s">
        <v>236</v>
      </c>
      <c r="G8" s="83">
        <v>204</v>
      </c>
      <c r="H8" s="82" t="s">
        <v>237</v>
      </c>
      <c r="I8" s="82">
        <v>225</v>
      </c>
      <c r="J8" s="82" t="s">
        <v>239</v>
      </c>
      <c r="K8" s="85">
        <v>287.49</v>
      </c>
      <c r="L8" s="82"/>
      <c r="M8" s="82"/>
      <c r="N8" s="82"/>
      <c r="O8" s="82"/>
      <c r="P8" s="84"/>
      <c r="Q8" s="72"/>
    </row>
    <row r="9" spans="1:17" ht="17.25" customHeight="1" x14ac:dyDescent="0.25">
      <c r="A9" s="72"/>
      <c r="B9" s="78">
        <v>8</v>
      </c>
      <c r="C9" s="68" t="s">
        <v>245</v>
      </c>
      <c r="D9" s="80" t="s">
        <v>235</v>
      </c>
      <c r="E9" s="81">
        <v>3</v>
      </c>
      <c r="F9" s="81" t="s">
        <v>236</v>
      </c>
      <c r="G9" s="83">
        <v>531</v>
      </c>
      <c r="H9" s="82" t="s">
        <v>237</v>
      </c>
      <c r="I9" s="82">
        <v>630</v>
      </c>
      <c r="J9" s="82" t="s">
        <v>239</v>
      </c>
      <c r="K9" s="85">
        <v>844.54</v>
      </c>
      <c r="L9" s="82"/>
      <c r="M9" s="82"/>
      <c r="N9" s="82"/>
      <c r="O9" s="82"/>
      <c r="P9" s="84"/>
      <c r="Q9" s="72"/>
    </row>
    <row r="10" spans="1:17" ht="27.75" customHeight="1" x14ac:dyDescent="0.25">
      <c r="A10" s="89"/>
      <c r="B10" s="90">
        <v>9</v>
      </c>
      <c r="C10" s="91" t="s">
        <v>246</v>
      </c>
      <c r="D10" s="92" t="s">
        <v>235</v>
      </c>
      <c r="E10" s="93">
        <v>8</v>
      </c>
      <c r="F10" s="93" t="s">
        <v>247</v>
      </c>
      <c r="G10" s="94">
        <v>6060</v>
      </c>
      <c r="H10" s="94" t="s">
        <v>248</v>
      </c>
      <c r="I10" s="95">
        <v>5184</v>
      </c>
      <c r="J10" s="94" t="s">
        <v>239</v>
      </c>
      <c r="K10" s="94">
        <v>4697.5</v>
      </c>
      <c r="L10" s="94"/>
      <c r="M10" s="94"/>
      <c r="N10" s="94"/>
      <c r="O10" s="94"/>
      <c r="P10" s="96"/>
      <c r="Q10" s="89"/>
    </row>
    <row r="11" spans="1:17" ht="24.75" customHeight="1" x14ac:dyDescent="0.25">
      <c r="A11" s="89"/>
      <c r="B11" s="90">
        <v>10</v>
      </c>
      <c r="C11" s="91" t="s">
        <v>249</v>
      </c>
      <c r="D11" s="92" t="s">
        <v>235</v>
      </c>
      <c r="E11" s="93">
        <v>8</v>
      </c>
      <c r="F11" s="93" t="s">
        <v>236</v>
      </c>
      <c r="G11" s="94">
        <v>440</v>
      </c>
      <c r="H11" s="94" t="s">
        <v>237</v>
      </c>
      <c r="I11" s="94">
        <v>680</v>
      </c>
      <c r="J11" s="94" t="s">
        <v>239</v>
      </c>
      <c r="K11" s="94">
        <v>1445.38</v>
      </c>
      <c r="L11" s="94"/>
      <c r="M11" s="94"/>
      <c r="N11" s="94"/>
      <c r="O11" s="94"/>
      <c r="P11" s="96"/>
      <c r="Q11" s="89"/>
    </row>
    <row r="12" spans="1:17" ht="34.5" customHeight="1" x14ac:dyDescent="0.25">
      <c r="A12" s="72"/>
      <c r="B12" s="78">
        <v>11</v>
      </c>
      <c r="C12" s="69" t="s">
        <v>250</v>
      </c>
      <c r="D12" s="80" t="s">
        <v>235</v>
      </c>
      <c r="E12" s="81">
        <v>6</v>
      </c>
      <c r="F12" s="81" t="s">
        <v>236</v>
      </c>
      <c r="G12" s="83">
        <v>2010</v>
      </c>
      <c r="H12" s="82" t="s">
        <v>237</v>
      </c>
      <c r="I12" s="82">
        <v>3660</v>
      </c>
      <c r="J12" s="82" t="s">
        <v>239</v>
      </c>
      <c r="K12" s="85">
        <v>2314.29</v>
      </c>
      <c r="L12" s="97"/>
      <c r="M12" s="97"/>
      <c r="N12" s="82"/>
      <c r="O12" s="82"/>
      <c r="P12" s="84"/>
      <c r="Q12" s="72"/>
    </row>
    <row r="13" spans="1:17" ht="19.5" customHeight="1" x14ac:dyDescent="0.25">
      <c r="A13" s="72"/>
      <c r="B13" s="78">
        <v>12</v>
      </c>
      <c r="C13" s="68" t="s">
        <v>251</v>
      </c>
      <c r="D13" s="80" t="s">
        <v>235</v>
      </c>
      <c r="E13" s="81">
        <v>3</v>
      </c>
      <c r="F13" s="81" t="s">
        <v>236</v>
      </c>
      <c r="G13" s="83">
        <v>1701.3</v>
      </c>
      <c r="H13" s="82" t="s">
        <v>237</v>
      </c>
      <c r="I13" s="82">
        <v>2220</v>
      </c>
      <c r="J13" s="82" t="s">
        <v>239</v>
      </c>
      <c r="K13" s="85">
        <v>2014.29</v>
      </c>
      <c r="L13" s="82"/>
      <c r="M13" s="82"/>
      <c r="N13" s="82"/>
      <c r="O13" s="82"/>
      <c r="P13" s="84"/>
      <c r="Q13" s="72"/>
    </row>
    <row r="14" spans="1:17" ht="18" customHeight="1" x14ac:dyDescent="0.25">
      <c r="A14" s="72"/>
      <c r="B14" s="78">
        <v>13</v>
      </c>
      <c r="C14" s="68" t="s">
        <v>252</v>
      </c>
      <c r="D14" s="80" t="s">
        <v>235</v>
      </c>
      <c r="E14" s="81">
        <v>1</v>
      </c>
      <c r="F14" s="81"/>
      <c r="G14" s="82"/>
      <c r="H14" s="82" t="s">
        <v>237</v>
      </c>
      <c r="I14" s="83">
        <v>265</v>
      </c>
      <c r="J14" s="82"/>
      <c r="K14" s="85"/>
      <c r="L14" s="82"/>
      <c r="M14" s="82"/>
      <c r="N14" s="82"/>
      <c r="O14" s="82"/>
      <c r="P14" s="84"/>
      <c r="Q14" s="72"/>
    </row>
    <row r="15" spans="1:17" ht="18.75" customHeight="1" x14ac:dyDescent="0.25">
      <c r="A15" s="72"/>
      <c r="B15" s="78">
        <v>14</v>
      </c>
      <c r="C15" s="68" t="s">
        <v>253</v>
      </c>
      <c r="D15" s="80" t="s">
        <v>235</v>
      </c>
      <c r="E15" s="81">
        <v>1</v>
      </c>
      <c r="F15" s="81"/>
      <c r="G15" s="82"/>
      <c r="H15" s="82" t="s">
        <v>237</v>
      </c>
      <c r="I15" s="83">
        <v>210</v>
      </c>
      <c r="J15" s="82"/>
      <c r="K15" s="85"/>
      <c r="L15" s="82"/>
      <c r="M15" s="82"/>
      <c r="N15" s="82"/>
      <c r="O15" s="82"/>
      <c r="P15" s="84"/>
      <c r="Q15" s="72"/>
    </row>
    <row r="16" spans="1:17" ht="19.5" customHeight="1" x14ac:dyDescent="0.25">
      <c r="A16" s="72"/>
      <c r="B16" s="78">
        <v>15</v>
      </c>
      <c r="C16" s="68" t="s">
        <v>254</v>
      </c>
      <c r="D16" s="80" t="s">
        <v>235</v>
      </c>
      <c r="E16" s="81">
        <v>60</v>
      </c>
      <c r="F16" s="81" t="s">
        <v>236</v>
      </c>
      <c r="G16" s="85">
        <v>4800</v>
      </c>
      <c r="H16" s="82" t="s">
        <v>237</v>
      </c>
      <c r="I16" s="83">
        <v>3120</v>
      </c>
      <c r="J16" s="82" t="s">
        <v>239</v>
      </c>
      <c r="K16" s="85">
        <v>6201.68</v>
      </c>
      <c r="L16" s="82"/>
      <c r="M16" s="82"/>
      <c r="N16" s="82"/>
      <c r="O16" s="82"/>
      <c r="P16" s="84"/>
      <c r="Q16" s="72"/>
    </row>
    <row r="17" spans="1:17" ht="31.5" customHeight="1" x14ac:dyDescent="0.25">
      <c r="A17" s="72"/>
      <c r="B17" s="78">
        <v>16</v>
      </c>
      <c r="C17" s="68" t="s">
        <v>255</v>
      </c>
      <c r="D17" s="80" t="s">
        <v>235</v>
      </c>
      <c r="E17" s="81">
        <v>60</v>
      </c>
      <c r="F17" s="81" t="s">
        <v>256</v>
      </c>
      <c r="G17" s="83">
        <v>6300</v>
      </c>
      <c r="H17" s="82" t="s">
        <v>237</v>
      </c>
      <c r="I17" s="85">
        <v>6300</v>
      </c>
      <c r="J17" s="82" t="s">
        <v>257</v>
      </c>
      <c r="K17" s="85">
        <v>20924.37</v>
      </c>
      <c r="L17" s="82"/>
      <c r="M17" s="82"/>
      <c r="N17" s="82"/>
      <c r="O17" s="82"/>
      <c r="P17" s="84"/>
      <c r="Q17" s="72"/>
    </row>
    <row r="18" spans="1:17" ht="28.5" customHeight="1" x14ac:dyDescent="0.25">
      <c r="A18" s="72"/>
      <c r="B18" s="78">
        <v>17</v>
      </c>
      <c r="C18" s="68" t="s">
        <v>258</v>
      </c>
      <c r="D18" s="80" t="s">
        <v>235</v>
      </c>
      <c r="E18" s="81">
        <v>1</v>
      </c>
      <c r="F18" s="81" t="s">
        <v>259</v>
      </c>
      <c r="G18" s="98">
        <v>4568.07</v>
      </c>
      <c r="H18" s="82" t="s">
        <v>260</v>
      </c>
      <c r="I18" s="82" t="s">
        <v>261</v>
      </c>
      <c r="J18" s="82"/>
      <c r="K18" s="85"/>
      <c r="L18" s="82"/>
      <c r="M18" s="82"/>
      <c r="N18" s="82"/>
      <c r="O18" s="82"/>
      <c r="P18" s="84"/>
      <c r="Q18" s="72"/>
    </row>
    <row r="19" spans="1:17" ht="35.25" customHeight="1" x14ac:dyDescent="0.25">
      <c r="A19" s="72"/>
      <c r="B19" s="78">
        <v>18</v>
      </c>
      <c r="C19" s="68" t="s">
        <v>262</v>
      </c>
      <c r="D19" s="80" t="s">
        <v>235</v>
      </c>
      <c r="E19" s="81">
        <v>1</v>
      </c>
      <c r="F19" s="81"/>
      <c r="G19" s="82"/>
      <c r="H19" s="82" t="s">
        <v>237</v>
      </c>
      <c r="I19" s="82">
        <v>1810</v>
      </c>
      <c r="J19" s="82" t="s">
        <v>239</v>
      </c>
      <c r="K19" s="83">
        <v>747.06</v>
      </c>
      <c r="L19" s="82"/>
      <c r="M19" s="82"/>
      <c r="N19" s="82"/>
      <c r="O19" s="82"/>
      <c r="P19" s="84"/>
      <c r="Q19" s="72"/>
    </row>
    <row r="20" spans="1:17" ht="20.25" customHeight="1" x14ac:dyDescent="0.25">
      <c r="A20" s="72"/>
      <c r="B20" s="78">
        <v>19</v>
      </c>
      <c r="C20" s="68" t="s">
        <v>263</v>
      </c>
      <c r="D20" s="80" t="s">
        <v>235</v>
      </c>
      <c r="E20" s="81">
        <v>1</v>
      </c>
      <c r="F20" s="81"/>
      <c r="G20" s="82"/>
      <c r="H20" s="82" t="s">
        <v>237</v>
      </c>
      <c r="I20" s="83">
        <v>860</v>
      </c>
      <c r="J20" s="82" t="s">
        <v>239</v>
      </c>
      <c r="K20" s="85">
        <v>940.34</v>
      </c>
      <c r="L20" s="82"/>
      <c r="M20" s="82"/>
      <c r="N20" s="82"/>
      <c r="O20" s="82"/>
      <c r="P20" s="84"/>
      <c r="Q20" s="72"/>
    </row>
    <row r="21" spans="1:17" ht="21" customHeight="1" x14ac:dyDescent="0.25">
      <c r="A21" s="72"/>
      <c r="B21" s="78">
        <v>20</v>
      </c>
      <c r="C21" s="68" t="s">
        <v>264</v>
      </c>
      <c r="D21" s="80" t="s">
        <v>235</v>
      </c>
      <c r="E21" s="81">
        <v>1</v>
      </c>
      <c r="F21" s="81"/>
      <c r="G21" s="82"/>
      <c r="H21" s="82" t="s">
        <v>237</v>
      </c>
      <c r="I21" s="83">
        <v>550</v>
      </c>
      <c r="J21" s="82" t="s">
        <v>239</v>
      </c>
      <c r="K21" s="85">
        <v>747.06</v>
      </c>
      <c r="L21" s="82"/>
      <c r="M21" s="82"/>
      <c r="N21" s="82"/>
      <c r="O21" s="82"/>
      <c r="P21" s="84"/>
      <c r="Q21" s="72"/>
    </row>
    <row r="22" spans="1:17" ht="24" customHeight="1" x14ac:dyDescent="0.25">
      <c r="A22" s="72"/>
      <c r="B22" s="78">
        <v>21</v>
      </c>
      <c r="C22" s="68" t="s">
        <v>265</v>
      </c>
      <c r="D22" s="80" t="s">
        <v>235</v>
      </c>
      <c r="E22" s="81">
        <v>1</v>
      </c>
      <c r="F22" s="81"/>
      <c r="G22" s="82"/>
      <c r="H22" s="82" t="s">
        <v>237</v>
      </c>
      <c r="I22" s="83">
        <v>210</v>
      </c>
      <c r="J22" s="82" t="s">
        <v>239</v>
      </c>
      <c r="K22" s="85">
        <v>242.86</v>
      </c>
      <c r="L22" s="82"/>
      <c r="M22" s="82"/>
      <c r="N22" s="82"/>
      <c r="O22" s="82"/>
      <c r="P22" s="84"/>
      <c r="Q22" s="72"/>
    </row>
    <row r="23" spans="1:17" ht="18" customHeight="1" x14ac:dyDescent="0.25">
      <c r="A23" s="72"/>
      <c r="B23" s="78">
        <v>22</v>
      </c>
      <c r="C23" s="68" t="s">
        <v>266</v>
      </c>
      <c r="D23" s="80" t="s">
        <v>235</v>
      </c>
      <c r="E23" s="81">
        <v>1</v>
      </c>
      <c r="F23" s="81" t="s">
        <v>236</v>
      </c>
      <c r="G23" s="83">
        <v>60</v>
      </c>
      <c r="H23" s="82" t="s">
        <v>237</v>
      </c>
      <c r="I23" s="82">
        <v>2900</v>
      </c>
      <c r="J23" s="82" t="s">
        <v>239</v>
      </c>
      <c r="K23" s="85">
        <v>95.83</v>
      </c>
      <c r="L23" s="82"/>
      <c r="M23" s="82"/>
      <c r="N23" s="82"/>
      <c r="O23" s="82"/>
      <c r="P23" s="84"/>
      <c r="Q23" s="72"/>
    </row>
    <row r="24" spans="1:17" ht="17.25" customHeight="1" x14ac:dyDescent="0.25">
      <c r="A24" s="72"/>
      <c r="B24" s="78">
        <v>23</v>
      </c>
      <c r="C24" s="91" t="s">
        <v>267</v>
      </c>
      <c r="D24" s="80" t="s">
        <v>235</v>
      </c>
      <c r="E24" s="81">
        <v>1</v>
      </c>
      <c r="F24" s="81"/>
      <c r="G24" s="82"/>
      <c r="H24" s="82" t="s">
        <v>237</v>
      </c>
      <c r="I24" s="83">
        <v>810</v>
      </c>
      <c r="J24" s="82"/>
      <c r="K24" s="82"/>
      <c r="L24" s="82"/>
      <c r="M24" s="82"/>
      <c r="N24" s="82"/>
      <c r="O24" s="82"/>
      <c r="P24" s="84"/>
      <c r="Q24" s="72"/>
    </row>
    <row r="25" spans="1:17" ht="22.5" customHeight="1" x14ac:dyDescent="0.25">
      <c r="A25" s="72"/>
      <c r="B25" s="78">
        <v>24</v>
      </c>
      <c r="C25" s="91" t="s">
        <v>268</v>
      </c>
      <c r="D25" s="80" t="s">
        <v>235</v>
      </c>
      <c r="E25" s="81">
        <v>40</v>
      </c>
      <c r="F25" s="81"/>
      <c r="G25" s="82"/>
      <c r="H25" s="82" t="s">
        <v>237</v>
      </c>
      <c r="I25" s="82">
        <v>10000</v>
      </c>
      <c r="J25" s="82" t="s">
        <v>239</v>
      </c>
      <c r="K25" s="83">
        <v>6016.8</v>
      </c>
      <c r="L25" s="82"/>
      <c r="M25" s="82"/>
      <c r="N25" s="82"/>
      <c r="O25" s="82"/>
      <c r="P25" s="84"/>
      <c r="Q25" s="72"/>
    </row>
    <row r="26" spans="1:17" ht="22.5" customHeight="1" x14ac:dyDescent="0.25">
      <c r="A26" s="72"/>
      <c r="B26" s="78">
        <v>25</v>
      </c>
      <c r="C26" s="99" t="s">
        <v>269</v>
      </c>
      <c r="D26" s="80" t="s">
        <v>235</v>
      </c>
      <c r="E26" s="100">
        <v>3</v>
      </c>
      <c r="F26" s="81" t="s">
        <v>236</v>
      </c>
      <c r="G26" s="82">
        <v>339</v>
      </c>
      <c r="H26" s="82" t="s">
        <v>237</v>
      </c>
      <c r="I26" s="82">
        <v>630</v>
      </c>
      <c r="J26" s="82" t="s">
        <v>239</v>
      </c>
      <c r="K26" s="83">
        <v>121.02</v>
      </c>
      <c r="L26" s="82"/>
      <c r="M26" s="82"/>
      <c r="N26" s="82"/>
      <c r="O26" s="82"/>
      <c r="P26" s="84"/>
      <c r="Q26" s="72"/>
    </row>
    <row r="27" spans="1:17" ht="20.25" customHeight="1" x14ac:dyDescent="0.25">
      <c r="A27" s="72"/>
      <c r="B27" s="78">
        <v>26</v>
      </c>
      <c r="C27" s="99" t="s">
        <v>270</v>
      </c>
      <c r="D27" s="80" t="s">
        <v>235</v>
      </c>
      <c r="E27" s="100">
        <v>1</v>
      </c>
      <c r="F27" s="81" t="s">
        <v>236</v>
      </c>
      <c r="G27" s="82">
        <v>505.86</v>
      </c>
      <c r="H27" s="82" t="s">
        <v>237</v>
      </c>
      <c r="I27" s="83">
        <v>220</v>
      </c>
      <c r="J27" s="82"/>
      <c r="K27" s="82"/>
      <c r="L27" s="82"/>
      <c r="M27" s="82"/>
      <c r="N27" s="82"/>
      <c r="O27" s="82"/>
      <c r="P27" s="84"/>
      <c r="Q27" s="72"/>
    </row>
    <row r="28" spans="1:17" ht="20.25" customHeight="1" x14ac:dyDescent="0.25">
      <c r="A28" s="72"/>
      <c r="B28" s="78">
        <v>27</v>
      </c>
      <c r="C28" s="91" t="s">
        <v>271</v>
      </c>
      <c r="D28" s="80" t="s">
        <v>235</v>
      </c>
      <c r="E28" s="100">
        <v>1</v>
      </c>
      <c r="F28" s="81" t="s">
        <v>236</v>
      </c>
      <c r="G28" s="83">
        <v>597.12</v>
      </c>
      <c r="H28" s="82" t="s">
        <v>237</v>
      </c>
      <c r="I28" s="82">
        <v>1420</v>
      </c>
      <c r="J28" s="82"/>
      <c r="K28" s="82"/>
      <c r="L28" s="82"/>
      <c r="M28" s="82"/>
      <c r="N28" s="82"/>
      <c r="O28" s="82"/>
      <c r="P28" s="84"/>
      <c r="Q28" s="72"/>
    </row>
    <row r="29" spans="1:17" ht="34.5" customHeight="1" x14ac:dyDescent="0.25">
      <c r="A29" s="72"/>
      <c r="B29" s="78">
        <v>28</v>
      </c>
      <c r="C29" s="101" t="s">
        <v>272</v>
      </c>
      <c r="D29" s="80" t="s">
        <v>235</v>
      </c>
      <c r="E29" s="100">
        <v>6</v>
      </c>
      <c r="F29" s="81" t="s">
        <v>236</v>
      </c>
      <c r="G29" s="82">
        <v>1440</v>
      </c>
      <c r="H29" s="82" t="s">
        <v>237</v>
      </c>
      <c r="I29" s="82">
        <v>2340</v>
      </c>
      <c r="J29" s="82" t="s">
        <v>239</v>
      </c>
      <c r="K29" s="83">
        <v>983.19</v>
      </c>
      <c r="L29" s="82"/>
      <c r="M29" s="82"/>
      <c r="N29" s="82"/>
      <c r="O29" s="82"/>
      <c r="P29" s="84"/>
      <c r="Q29" s="72"/>
    </row>
    <row r="30" spans="1:17" ht="21.75" customHeight="1" x14ac:dyDescent="0.25">
      <c r="A30" s="72"/>
      <c r="B30" s="78">
        <v>29</v>
      </c>
      <c r="C30" s="99" t="s">
        <v>273</v>
      </c>
      <c r="D30" s="80" t="s">
        <v>235</v>
      </c>
      <c r="E30" s="102">
        <v>4</v>
      </c>
      <c r="F30" s="103"/>
      <c r="G30" s="82"/>
      <c r="H30" s="82" t="s">
        <v>237</v>
      </c>
      <c r="I30" s="83">
        <v>880</v>
      </c>
      <c r="J30" s="82"/>
      <c r="K30" s="82"/>
      <c r="L30" s="82"/>
      <c r="M30" s="82"/>
      <c r="N30" s="82"/>
      <c r="O30" s="82"/>
      <c r="P30" s="84"/>
      <c r="Q30" s="72"/>
    </row>
    <row r="31" spans="1:17" ht="22.5" customHeight="1" x14ac:dyDescent="0.25">
      <c r="A31" s="72"/>
      <c r="B31" s="78">
        <v>30</v>
      </c>
      <c r="C31" s="99" t="s">
        <v>274</v>
      </c>
      <c r="D31" s="80" t="s">
        <v>235</v>
      </c>
      <c r="E31" s="102">
        <v>3</v>
      </c>
      <c r="F31" s="103"/>
      <c r="G31" s="82"/>
      <c r="H31" s="82" t="s">
        <v>237</v>
      </c>
      <c r="I31" s="83">
        <v>630</v>
      </c>
      <c r="J31" s="82"/>
      <c r="K31" s="82"/>
      <c r="L31" s="82"/>
      <c r="M31" s="82"/>
      <c r="N31" s="82"/>
      <c r="O31" s="82"/>
      <c r="P31" s="84"/>
      <c r="Q31" s="72"/>
    </row>
    <row r="32" spans="1:17" ht="30.75" customHeight="1" x14ac:dyDescent="0.25">
      <c r="A32" s="72"/>
      <c r="B32" s="78">
        <v>31</v>
      </c>
      <c r="C32" s="68" t="s">
        <v>275</v>
      </c>
      <c r="D32" s="80" t="s">
        <v>235</v>
      </c>
      <c r="E32" s="104">
        <v>19</v>
      </c>
      <c r="F32" s="81" t="s">
        <v>259</v>
      </c>
      <c r="G32" s="98">
        <v>4502.5200000000004</v>
      </c>
      <c r="H32" s="82" t="s">
        <v>260</v>
      </c>
      <c r="I32" s="105">
        <v>3450.88</v>
      </c>
      <c r="J32" s="82"/>
      <c r="K32" s="82"/>
      <c r="L32" s="82"/>
      <c r="M32" s="82"/>
      <c r="N32" s="82"/>
      <c r="O32" s="82"/>
      <c r="P32" s="84"/>
      <c r="Q32" s="72"/>
    </row>
    <row r="33" spans="1:17" ht="23.25" customHeight="1" x14ac:dyDescent="0.25">
      <c r="A33" s="72"/>
      <c r="B33" s="78">
        <v>32</v>
      </c>
      <c r="C33" s="68" t="s">
        <v>276</v>
      </c>
      <c r="D33" s="80" t="s">
        <v>235</v>
      </c>
      <c r="E33" s="104">
        <v>12</v>
      </c>
      <c r="F33" s="81" t="s">
        <v>259</v>
      </c>
      <c r="G33" s="98">
        <v>4568.07</v>
      </c>
      <c r="H33" s="82" t="s">
        <v>260</v>
      </c>
      <c r="I33" s="105" t="s">
        <v>261</v>
      </c>
      <c r="J33" s="82"/>
      <c r="K33" s="82"/>
      <c r="L33" s="82"/>
      <c r="M33" s="82"/>
      <c r="N33" s="82"/>
      <c r="O33" s="82"/>
      <c r="P33" s="84"/>
      <c r="Q33" s="72"/>
    </row>
    <row r="34" spans="1:17" ht="21.75" customHeight="1" x14ac:dyDescent="0.25">
      <c r="A34" s="106"/>
      <c r="B34" s="78"/>
      <c r="C34" s="68" t="s">
        <v>277</v>
      </c>
      <c r="D34" s="80" t="s">
        <v>235</v>
      </c>
      <c r="E34" s="104">
        <v>19</v>
      </c>
      <c r="F34" s="81" t="s">
        <v>259</v>
      </c>
      <c r="G34" s="98">
        <v>1761</v>
      </c>
      <c r="H34" s="82" t="s">
        <v>260</v>
      </c>
      <c r="I34" s="105">
        <v>7645</v>
      </c>
      <c r="J34" s="82"/>
      <c r="K34" s="82"/>
      <c r="L34" s="82"/>
      <c r="M34" s="82"/>
      <c r="N34" s="82"/>
      <c r="O34" s="82"/>
      <c r="P34" s="84"/>
      <c r="Q34" s="72"/>
    </row>
    <row r="35" spans="1:17" ht="22.5" customHeight="1" x14ac:dyDescent="0.25">
      <c r="A35" s="106"/>
      <c r="B35" s="107">
        <v>33</v>
      </c>
      <c r="C35" s="91" t="s">
        <v>278</v>
      </c>
      <c r="D35" s="108" t="s">
        <v>235</v>
      </c>
      <c r="E35" s="109">
        <v>1</v>
      </c>
      <c r="F35" s="109"/>
      <c r="G35" s="105"/>
      <c r="H35" s="105" t="s">
        <v>237</v>
      </c>
      <c r="I35" s="95">
        <v>240</v>
      </c>
      <c r="J35" s="105"/>
      <c r="K35" s="105"/>
      <c r="L35" s="105"/>
      <c r="M35" s="105"/>
      <c r="N35" s="105"/>
      <c r="O35" s="105"/>
      <c r="P35" s="110"/>
      <c r="Q35" s="106"/>
    </row>
    <row r="36" spans="1:17" ht="108" customHeight="1" x14ac:dyDescent="0.25">
      <c r="A36" s="72"/>
      <c r="B36" s="107">
        <v>34</v>
      </c>
      <c r="C36" s="91" t="s">
        <v>279</v>
      </c>
      <c r="D36" s="108" t="s">
        <v>235</v>
      </c>
      <c r="E36" s="109">
        <v>1</v>
      </c>
      <c r="F36" s="109"/>
      <c r="G36" s="105"/>
      <c r="H36" s="105" t="s">
        <v>280</v>
      </c>
      <c r="I36" s="95">
        <v>520</v>
      </c>
      <c r="J36" s="105" t="s">
        <v>281</v>
      </c>
      <c r="K36" s="105">
        <v>3521.01</v>
      </c>
      <c r="L36" s="105"/>
      <c r="M36" s="105"/>
      <c r="N36" s="105"/>
      <c r="O36" s="105"/>
      <c r="P36" s="110"/>
      <c r="Q36" s="106"/>
    </row>
    <row r="37" spans="1:17" ht="34.5" customHeight="1" x14ac:dyDescent="0.25">
      <c r="A37" s="72"/>
      <c r="B37" s="78">
        <v>35</v>
      </c>
      <c r="C37" s="68" t="s">
        <v>282</v>
      </c>
      <c r="D37" s="80" t="s">
        <v>235</v>
      </c>
      <c r="E37" s="81">
        <v>1</v>
      </c>
      <c r="F37" s="81" t="s">
        <v>236</v>
      </c>
      <c r="G37" s="82">
        <v>1270</v>
      </c>
      <c r="H37" s="82" t="s">
        <v>237</v>
      </c>
      <c r="I37" s="83">
        <v>942</v>
      </c>
      <c r="J37" s="82"/>
      <c r="K37" s="82"/>
      <c r="L37" s="82"/>
      <c r="M37" s="82"/>
      <c r="N37" s="82"/>
      <c r="O37" s="82"/>
      <c r="P37" s="84"/>
      <c r="Q37" s="72"/>
    </row>
    <row r="38" spans="1:17" ht="31.5" customHeight="1" x14ac:dyDescent="0.25">
      <c r="A38" s="72"/>
      <c r="B38" s="78">
        <v>36</v>
      </c>
      <c r="C38" s="68" t="s">
        <v>283</v>
      </c>
      <c r="D38" s="80" t="s">
        <v>235</v>
      </c>
      <c r="E38" s="81">
        <v>1</v>
      </c>
      <c r="F38" s="81"/>
      <c r="G38" s="82"/>
      <c r="H38" s="82" t="s">
        <v>237</v>
      </c>
      <c r="I38" s="82">
        <v>1410</v>
      </c>
      <c r="J38" s="82" t="s">
        <v>239</v>
      </c>
      <c r="K38" s="83">
        <v>658.82</v>
      </c>
      <c r="L38" s="82"/>
      <c r="M38" s="82"/>
      <c r="N38" s="82"/>
      <c r="O38" s="82"/>
      <c r="P38" s="84"/>
      <c r="Q38" s="72"/>
    </row>
    <row r="39" spans="1:17" ht="25.5" customHeight="1" x14ac:dyDescent="0.25">
      <c r="A39" s="72"/>
      <c r="B39" s="78">
        <v>37</v>
      </c>
      <c r="C39" s="68" t="s">
        <v>210</v>
      </c>
      <c r="D39" s="80" t="s">
        <v>235</v>
      </c>
      <c r="E39" s="81">
        <v>3</v>
      </c>
      <c r="F39" s="81"/>
      <c r="G39" s="82"/>
      <c r="H39" s="82" t="s">
        <v>237</v>
      </c>
      <c r="I39" s="83">
        <v>1710</v>
      </c>
      <c r="J39" s="82"/>
      <c r="K39" s="82"/>
      <c r="L39" s="82"/>
      <c r="M39" s="82"/>
      <c r="N39" s="82"/>
      <c r="O39" s="82"/>
      <c r="P39" s="84"/>
      <c r="Q39" s="72"/>
    </row>
    <row r="40" spans="1:17" x14ac:dyDescent="0.25">
      <c r="A40" s="72"/>
      <c r="B40" s="78"/>
      <c r="C40" s="68"/>
      <c r="D40" s="80"/>
      <c r="E40" s="81"/>
      <c r="F40" s="81"/>
      <c r="G40" s="82"/>
      <c r="H40" s="82"/>
      <c r="I40" s="83"/>
      <c r="J40" s="82"/>
      <c r="K40" s="82"/>
      <c r="L40" s="82"/>
      <c r="M40" s="82"/>
      <c r="N40" s="82"/>
      <c r="O40" s="82"/>
      <c r="P40" s="84"/>
      <c r="Q40" s="72"/>
    </row>
    <row r="41" spans="1:17" ht="22.5" customHeight="1" x14ac:dyDescent="0.25">
      <c r="A41" s="72"/>
      <c r="B41" s="78">
        <v>1</v>
      </c>
      <c r="C41" s="111" t="s">
        <v>284</v>
      </c>
      <c r="D41" s="80" t="s">
        <v>235</v>
      </c>
      <c r="E41" s="81">
        <v>1</v>
      </c>
      <c r="F41" s="80" t="s">
        <v>285</v>
      </c>
      <c r="G41" s="83">
        <v>517</v>
      </c>
      <c r="H41" s="82"/>
      <c r="I41" s="82"/>
      <c r="J41" s="82"/>
      <c r="K41" s="82"/>
      <c r="L41" s="82"/>
      <c r="M41" s="82"/>
      <c r="N41" s="82"/>
      <c r="O41" s="82"/>
      <c r="P41" s="84"/>
      <c r="Q41" s="72"/>
    </row>
    <row r="42" spans="1:17" ht="15.75" thickBot="1" x14ac:dyDescent="0.3">
      <c r="A42" s="72"/>
      <c r="B42" s="112"/>
      <c r="C42" s="113"/>
      <c r="D42" s="114"/>
      <c r="E42" s="115"/>
      <c r="F42" s="115"/>
      <c r="G42" s="114"/>
      <c r="H42" s="114"/>
      <c r="I42" s="114"/>
      <c r="J42" s="114"/>
      <c r="K42" s="114"/>
      <c r="L42" s="114"/>
      <c r="M42" s="114"/>
      <c r="N42" s="114"/>
      <c r="O42" s="114"/>
      <c r="P42" s="114"/>
      <c r="Q42" s="72"/>
    </row>
    <row r="43" spans="1:17" x14ac:dyDescent="0.25">
      <c r="A43" s="72"/>
      <c r="B43" s="397" t="s">
        <v>286</v>
      </c>
      <c r="C43" s="398"/>
      <c r="D43" s="398"/>
      <c r="E43" s="398"/>
      <c r="F43" s="398"/>
      <c r="G43" s="398"/>
      <c r="H43" s="398"/>
      <c r="I43" s="398"/>
      <c r="J43" s="398"/>
      <c r="K43" s="398"/>
      <c r="L43" s="398"/>
      <c r="M43" s="398"/>
      <c r="N43" s="398"/>
      <c r="O43" s="398"/>
      <c r="P43" s="399"/>
      <c r="Q43" s="72"/>
    </row>
    <row r="44" spans="1:17" ht="27.75" customHeight="1" x14ac:dyDescent="0.25">
      <c r="A44" s="72"/>
      <c r="B44" s="78">
        <v>1</v>
      </c>
      <c r="C44" s="111" t="s">
        <v>287</v>
      </c>
      <c r="D44" s="80" t="s">
        <v>235</v>
      </c>
      <c r="E44" s="81">
        <v>5</v>
      </c>
      <c r="F44" s="81" t="s">
        <v>288</v>
      </c>
      <c r="G44" s="83">
        <v>20424.84</v>
      </c>
      <c r="H44" s="82"/>
      <c r="I44" s="82"/>
      <c r="J44" s="82" t="s">
        <v>289</v>
      </c>
      <c r="K44" s="82">
        <v>33143.699999999997</v>
      </c>
      <c r="L44" s="82" t="s">
        <v>290</v>
      </c>
      <c r="M44" s="82">
        <v>20785</v>
      </c>
      <c r="N44" s="82"/>
      <c r="O44" s="116"/>
      <c r="P44" s="117"/>
      <c r="Q44" s="72"/>
    </row>
    <row r="45" spans="1:17" ht="21.75" customHeight="1" x14ac:dyDescent="0.25">
      <c r="A45" s="72"/>
      <c r="B45" s="78">
        <v>2</v>
      </c>
      <c r="C45" s="111" t="s">
        <v>291</v>
      </c>
      <c r="D45" s="80" t="s">
        <v>235</v>
      </c>
      <c r="E45" s="81">
        <v>1</v>
      </c>
      <c r="F45" s="81" t="s">
        <v>288</v>
      </c>
      <c r="G45" s="82">
        <v>1862.5</v>
      </c>
      <c r="H45" s="82" t="s">
        <v>292</v>
      </c>
      <c r="I45" s="83">
        <v>994.35</v>
      </c>
      <c r="J45" s="82"/>
      <c r="K45" s="82"/>
      <c r="L45" s="82" t="s">
        <v>290</v>
      </c>
      <c r="M45" s="82">
        <v>2355</v>
      </c>
      <c r="N45" s="82"/>
      <c r="O45" s="116"/>
      <c r="P45" s="117"/>
      <c r="Q45" s="72"/>
    </row>
    <row r="46" spans="1:17" ht="21.75" customHeight="1" x14ac:dyDescent="0.25">
      <c r="A46" s="72"/>
      <c r="B46" s="78">
        <v>3</v>
      </c>
      <c r="C46" s="111" t="s">
        <v>293</v>
      </c>
      <c r="D46" s="80" t="s">
        <v>235</v>
      </c>
      <c r="E46" s="81">
        <v>1</v>
      </c>
      <c r="F46" s="81" t="s">
        <v>288</v>
      </c>
      <c r="G46" s="83">
        <v>21839.19</v>
      </c>
      <c r="H46" s="82"/>
      <c r="I46" s="82"/>
      <c r="J46" s="82"/>
      <c r="K46" s="82"/>
      <c r="L46" s="82" t="s">
        <v>290</v>
      </c>
      <c r="M46" s="82">
        <v>32378</v>
      </c>
      <c r="N46" s="82"/>
      <c r="O46" s="116"/>
      <c r="P46" s="117"/>
      <c r="Q46" s="72"/>
    </row>
    <row r="47" spans="1:17" ht="21.75" customHeight="1" x14ac:dyDescent="0.25">
      <c r="A47" s="118"/>
      <c r="B47" s="78">
        <v>4</v>
      </c>
      <c r="C47" s="119" t="s">
        <v>294</v>
      </c>
      <c r="D47" s="80" t="s">
        <v>235</v>
      </c>
      <c r="E47" s="87">
        <v>1</v>
      </c>
      <c r="F47" s="81" t="s">
        <v>288</v>
      </c>
      <c r="G47" s="82">
        <v>96.638655499999999</v>
      </c>
      <c r="H47" s="82" t="s">
        <v>292</v>
      </c>
      <c r="I47" s="83">
        <v>54.17</v>
      </c>
      <c r="J47" s="82" t="s">
        <v>289</v>
      </c>
      <c r="K47" s="82">
        <v>91.59</v>
      </c>
      <c r="L47" s="82" t="s">
        <v>290</v>
      </c>
      <c r="M47" s="82">
        <v>102</v>
      </c>
      <c r="N47" s="82"/>
      <c r="O47" s="116"/>
      <c r="P47" s="117"/>
      <c r="Q47" s="72"/>
    </row>
    <row r="48" spans="1:17" ht="26.25" customHeight="1" x14ac:dyDescent="0.25">
      <c r="A48" s="72"/>
      <c r="B48" s="120">
        <v>5</v>
      </c>
      <c r="C48" s="121" t="s">
        <v>295</v>
      </c>
      <c r="D48" s="122" t="s">
        <v>235</v>
      </c>
      <c r="E48" s="123">
        <v>6</v>
      </c>
      <c r="F48" s="123"/>
      <c r="G48" s="124"/>
      <c r="H48" s="124" t="s">
        <v>292</v>
      </c>
      <c r="I48" s="124">
        <v>12605.04</v>
      </c>
      <c r="J48" s="124" t="s">
        <v>289</v>
      </c>
      <c r="K48" s="125">
        <v>12090.66</v>
      </c>
      <c r="L48" s="124" t="s">
        <v>290</v>
      </c>
      <c r="M48" s="126">
        <v>16296</v>
      </c>
      <c r="N48" s="124"/>
      <c r="O48" s="127"/>
      <c r="P48" s="128"/>
      <c r="Q48" s="118"/>
    </row>
    <row r="49" spans="1:17" ht="22.5" customHeight="1" x14ac:dyDescent="0.25">
      <c r="A49" s="72"/>
      <c r="B49" s="78">
        <v>6</v>
      </c>
      <c r="C49" s="111" t="s">
        <v>296</v>
      </c>
      <c r="D49" s="80" t="s">
        <v>235</v>
      </c>
      <c r="E49" s="87">
        <v>4</v>
      </c>
      <c r="F49" s="81" t="s">
        <v>288</v>
      </c>
      <c r="G49" s="82">
        <v>5942.88</v>
      </c>
      <c r="H49" s="82"/>
      <c r="I49" s="82"/>
      <c r="J49" s="82" t="s">
        <v>289</v>
      </c>
      <c r="K49" s="83">
        <v>5495.76</v>
      </c>
      <c r="L49" s="82" t="s">
        <v>290</v>
      </c>
      <c r="M49" s="82">
        <v>6684</v>
      </c>
      <c r="N49" s="82"/>
      <c r="O49" s="116"/>
      <c r="P49" s="117"/>
      <c r="Q49" s="72"/>
    </row>
    <row r="50" spans="1:17" ht="24" customHeight="1" x14ac:dyDescent="0.25">
      <c r="A50" s="72"/>
      <c r="B50" s="78">
        <v>7</v>
      </c>
      <c r="C50" s="111" t="s">
        <v>297</v>
      </c>
      <c r="D50" s="80" t="s">
        <v>235</v>
      </c>
      <c r="E50" s="81">
        <v>1</v>
      </c>
      <c r="F50" s="81" t="s">
        <v>298</v>
      </c>
      <c r="G50" s="98">
        <v>2737</v>
      </c>
      <c r="H50" s="82"/>
      <c r="I50" s="82"/>
      <c r="J50" s="82"/>
      <c r="K50" s="82"/>
      <c r="L50" s="82" t="s">
        <v>290</v>
      </c>
      <c r="M50" s="83">
        <v>13252</v>
      </c>
      <c r="N50" s="82"/>
      <c r="O50" s="116"/>
      <c r="P50" s="117"/>
      <c r="Q50" s="72"/>
    </row>
    <row r="51" spans="1:17" ht="24" customHeight="1" x14ac:dyDescent="0.25">
      <c r="A51" s="118"/>
      <c r="B51" s="78">
        <v>8</v>
      </c>
      <c r="C51" s="111" t="s">
        <v>299</v>
      </c>
      <c r="D51" s="80" t="s">
        <v>235</v>
      </c>
      <c r="E51" s="81">
        <v>1</v>
      </c>
      <c r="F51" s="81" t="s">
        <v>288</v>
      </c>
      <c r="G51" s="82">
        <v>11763.65</v>
      </c>
      <c r="H51" s="82"/>
      <c r="I51" s="82"/>
      <c r="J51" s="82" t="s">
        <v>289</v>
      </c>
      <c r="K51" s="83">
        <v>1099.1300000000001</v>
      </c>
      <c r="L51" s="82" t="s">
        <v>290</v>
      </c>
      <c r="M51" s="82">
        <v>12756</v>
      </c>
      <c r="N51" s="82"/>
      <c r="O51" s="116"/>
      <c r="P51" s="117"/>
      <c r="Q51" s="72"/>
    </row>
    <row r="52" spans="1:17" ht="23.25" customHeight="1" x14ac:dyDescent="0.25">
      <c r="A52" s="72"/>
      <c r="B52" s="120">
        <v>9</v>
      </c>
      <c r="C52" s="129" t="s">
        <v>300</v>
      </c>
      <c r="D52" s="122" t="s">
        <v>235</v>
      </c>
      <c r="E52" s="130">
        <v>1</v>
      </c>
      <c r="F52" s="130" t="s">
        <v>301</v>
      </c>
      <c r="G52" s="126">
        <v>5867.39</v>
      </c>
      <c r="H52" s="124" t="s">
        <v>302</v>
      </c>
      <c r="I52" s="125">
        <v>1342.01</v>
      </c>
      <c r="J52" s="124"/>
      <c r="K52" s="124"/>
      <c r="L52" s="124" t="s">
        <v>290</v>
      </c>
      <c r="M52" s="126">
        <v>5222</v>
      </c>
      <c r="N52" s="124"/>
      <c r="O52" s="127"/>
      <c r="P52" s="128"/>
      <c r="Q52" s="118"/>
    </row>
    <row r="53" spans="1:17" ht="25.5" customHeight="1" x14ac:dyDescent="0.25">
      <c r="A53" s="118"/>
      <c r="B53" s="78">
        <v>11</v>
      </c>
      <c r="C53" s="119" t="s">
        <v>303</v>
      </c>
      <c r="D53" s="80" t="s">
        <v>235</v>
      </c>
      <c r="E53" s="81">
        <v>3</v>
      </c>
      <c r="F53" s="81" t="s">
        <v>288</v>
      </c>
      <c r="G53" s="82">
        <v>1119.32773</v>
      </c>
      <c r="H53" s="82"/>
      <c r="I53" s="82"/>
      <c r="J53" s="82"/>
      <c r="K53" s="82"/>
      <c r="L53" s="82" t="s">
        <v>290</v>
      </c>
      <c r="M53" s="83">
        <v>1065</v>
      </c>
      <c r="N53" s="82"/>
      <c r="O53" s="116"/>
      <c r="P53" s="117"/>
      <c r="Q53" s="72"/>
    </row>
    <row r="54" spans="1:17" ht="24" customHeight="1" x14ac:dyDescent="0.25">
      <c r="A54" s="118"/>
      <c r="B54" s="120">
        <v>12</v>
      </c>
      <c r="C54" s="131" t="s">
        <v>304</v>
      </c>
      <c r="D54" s="122" t="s">
        <v>235</v>
      </c>
      <c r="E54" s="130">
        <v>1</v>
      </c>
      <c r="F54" s="130" t="s">
        <v>288</v>
      </c>
      <c r="G54" s="124">
        <v>3251.26</v>
      </c>
      <c r="H54" s="118"/>
      <c r="I54" s="124"/>
      <c r="J54" s="124"/>
      <c r="K54" s="124"/>
      <c r="L54" s="124" t="s">
        <v>290</v>
      </c>
      <c r="M54" s="125">
        <v>2820</v>
      </c>
      <c r="N54" s="124"/>
      <c r="O54" s="127"/>
      <c r="P54" s="128"/>
      <c r="Q54" s="118"/>
    </row>
    <row r="55" spans="1:17" ht="26.25" customHeight="1" x14ac:dyDescent="0.25">
      <c r="A55" s="72"/>
      <c r="B55" s="120">
        <v>13</v>
      </c>
      <c r="C55" s="132" t="s">
        <v>161</v>
      </c>
      <c r="D55" s="122" t="s">
        <v>305</v>
      </c>
      <c r="E55" s="130">
        <v>1</v>
      </c>
      <c r="F55" s="130" t="s">
        <v>288</v>
      </c>
      <c r="G55" s="125">
        <v>20847</v>
      </c>
      <c r="H55" s="124"/>
      <c r="I55" s="124"/>
      <c r="J55" s="124"/>
      <c r="K55" s="124"/>
      <c r="L55" s="124" t="s">
        <v>290</v>
      </c>
      <c r="M55" s="126">
        <v>29245</v>
      </c>
      <c r="N55" s="124"/>
      <c r="O55" s="127"/>
      <c r="P55" s="128"/>
      <c r="Q55" s="118"/>
    </row>
    <row r="56" spans="1:17" ht="24" customHeight="1" x14ac:dyDescent="0.25">
      <c r="A56" s="72"/>
      <c r="B56" s="78">
        <v>14</v>
      </c>
      <c r="C56" s="99" t="s">
        <v>169</v>
      </c>
      <c r="D56" s="80" t="s">
        <v>235</v>
      </c>
      <c r="E56" s="81">
        <v>1</v>
      </c>
      <c r="F56" s="81" t="s">
        <v>288</v>
      </c>
      <c r="G56" s="82">
        <v>14116.6387</v>
      </c>
      <c r="H56" s="82" t="s">
        <v>306</v>
      </c>
      <c r="I56" s="82">
        <v>1176.3900000000001</v>
      </c>
      <c r="J56" s="82" t="s">
        <v>307</v>
      </c>
      <c r="K56" s="83">
        <v>448.82</v>
      </c>
      <c r="L56" s="82" t="s">
        <v>290</v>
      </c>
      <c r="M56" s="82">
        <v>27156</v>
      </c>
      <c r="N56" s="82"/>
      <c r="O56" s="116"/>
      <c r="P56" s="117"/>
      <c r="Q56" s="72"/>
    </row>
    <row r="57" spans="1:17" ht="24" customHeight="1" x14ac:dyDescent="0.25">
      <c r="A57" s="106"/>
      <c r="B57" s="78">
        <v>15</v>
      </c>
      <c r="C57" s="99" t="s">
        <v>170</v>
      </c>
      <c r="D57" s="108" t="s">
        <v>305</v>
      </c>
      <c r="E57" s="81">
        <v>1</v>
      </c>
      <c r="F57" s="81" t="s">
        <v>288</v>
      </c>
      <c r="G57" s="83">
        <v>17141.848699999999</v>
      </c>
      <c r="H57" s="82"/>
      <c r="I57" s="82"/>
      <c r="J57" s="82"/>
      <c r="K57" s="82"/>
      <c r="L57" s="82" t="s">
        <v>290</v>
      </c>
      <c r="M57" s="82">
        <v>22560</v>
      </c>
      <c r="N57" s="82"/>
      <c r="O57" s="116"/>
      <c r="P57" s="117"/>
      <c r="Q57" s="72"/>
    </row>
    <row r="58" spans="1:17" ht="24" customHeight="1" thickBot="1" x14ac:dyDescent="0.3">
      <c r="A58" s="72"/>
      <c r="B58" s="133">
        <v>16</v>
      </c>
      <c r="C58" s="134" t="s">
        <v>162</v>
      </c>
      <c r="D58" s="135" t="s">
        <v>305</v>
      </c>
      <c r="E58" s="136">
        <v>1</v>
      </c>
      <c r="F58" s="136" t="s">
        <v>308</v>
      </c>
      <c r="G58" s="137">
        <v>92765.57</v>
      </c>
      <c r="H58" s="137" t="s">
        <v>309</v>
      </c>
      <c r="I58" s="138">
        <v>9523.36</v>
      </c>
      <c r="J58" s="137"/>
      <c r="K58" s="137"/>
      <c r="L58" s="137" t="s">
        <v>290</v>
      </c>
      <c r="M58" s="139">
        <v>20889</v>
      </c>
      <c r="N58" s="137"/>
      <c r="O58" s="140"/>
      <c r="P58" s="141"/>
      <c r="Q58" s="106"/>
    </row>
    <row r="59" spans="1:17" ht="15.75" thickBot="1" x14ac:dyDescent="0.3">
      <c r="A59" s="72"/>
      <c r="B59" s="112"/>
      <c r="C59" s="113"/>
      <c r="D59" s="142"/>
      <c r="E59" s="115"/>
      <c r="F59" s="115"/>
      <c r="G59" s="114"/>
      <c r="H59" s="114"/>
      <c r="I59" s="114"/>
      <c r="J59" s="114"/>
      <c r="K59" s="114"/>
      <c r="L59" s="114"/>
      <c r="M59" s="114"/>
      <c r="N59" s="114"/>
      <c r="O59" s="143"/>
      <c r="P59" s="112"/>
      <c r="Q59" s="72"/>
    </row>
    <row r="60" spans="1:17" x14ac:dyDescent="0.25">
      <c r="A60" s="72"/>
      <c r="B60" s="400" t="s">
        <v>310</v>
      </c>
      <c r="C60" s="401"/>
      <c r="D60" s="401"/>
      <c r="E60" s="401"/>
      <c r="F60" s="401"/>
      <c r="G60" s="401"/>
      <c r="H60" s="401"/>
      <c r="I60" s="401"/>
      <c r="J60" s="401"/>
      <c r="K60" s="401"/>
      <c r="L60" s="401"/>
      <c r="M60" s="401"/>
      <c r="N60" s="401"/>
      <c r="O60" s="401"/>
      <c r="P60" s="144"/>
      <c r="Q60" s="72"/>
    </row>
    <row r="61" spans="1:17" x14ac:dyDescent="0.25">
      <c r="A61" s="118"/>
      <c r="B61" s="402" t="s">
        <v>311</v>
      </c>
      <c r="C61" s="403"/>
      <c r="D61" s="403"/>
      <c r="E61" s="403"/>
      <c r="F61" s="403"/>
      <c r="G61" s="403"/>
      <c r="H61" s="403"/>
      <c r="I61" s="403"/>
      <c r="J61" s="403"/>
      <c r="K61" s="403"/>
      <c r="L61" s="403"/>
      <c r="M61" s="403"/>
      <c r="N61" s="403"/>
      <c r="O61" s="403"/>
      <c r="P61" s="404"/>
      <c r="Q61" s="72"/>
    </row>
    <row r="62" spans="1:17" ht="22.5" customHeight="1" x14ac:dyDescent="0.25">
      <c r="A62" s="118"/>
      <c r="B62" s="120">
        <v>1</v>
      </c>
      <c r="C62" s="129" t="s">
        <v>312</v>
      </c>
      <c r="D62" s="124" t="s">
        <v>305</v>
      </c>
      <c r="E62" s="130">
        <v>1</v>
      </c>
      <c r="F62" s="130" t="s">
        <v>288</v>
      </c>
      <c r="G62" s="126">
        <v>15464</v>
      </c>
      <c r="H62" s="124" t="s">
        <v>292</v>
      </c>
      <c r="I62" s="125">
        <v>5242.0200000000004</v>
      </c>
      <c r="J62" s="124" t="s">
        <v>313</v>
      </c>
      <c r="K62" s="124">
        <v>13902.3</v>
      </c>
      <c r="L62" s="124" t="s">
        <v>290</v>
      </c>
      <c r="M62" s="124">
        <v>17338</v>
      </c>
      <c r="N62" s="124"/>
      <c r="O62" s="145"/>
      <c r="P62" s="128"/>
      <c r="Q62" s="118"/>
    </row>
    <row r="63" spans="1:17" ht="27" customHeight="1" x14ac:dyDescent="0.25">
      <c r="A63" s="118"/>
      <c r="B63" s="120">
        <v>2</v>
      </c>
      <c r="C63" s="129" t="s">
        <v>314</v>
      </c>
      <c r="D63" s="124" t="s">
        <v>305</v>
      </c>
      <c r="E63" s="130">
        <v>1</v>
      </c>
      <c r="F63" s="130" t="s">
        <v>288</v>
      </c>
      <c r="G63" s="126">
        <v>3807</v>
      </c>
      <c r="H63" s="124" t="s">
        <v>315</v>
      </c>
      <c r="I63" s="125">
        <v>3296.7</v>
      </c>
      <c r="J63" s="124"/>
      <c r="K63" s="124"/>
      <c r="L63" s="124" t="s">
        <v>290</v>
      </c>
      <c r="M63" s="124">
        <v>4173</v>
      </c>
      <c r="N63" s="124"/>
      <c r="O63" s="145"/>
      <c r="P63" s="128"/>
      <c r="Q63" s="118"/>
    </row>
    <row r="64" spans="1:17" ht="18" customHeight="1" thickBot="1" x14ac:dyDescent="0.3">
      <c r="A64" s="72"/>
      <c r="B64" s="146">
        <v>3</v>
      </c>
      <c r="C64" s="147" t="s">
        <v>217</v>
      </c>
      <c r="D64" s="148"/>
      <c r="E64" s="149"/>
      <c r="F64" s="150" t="s">
        <v>316</v>
      </c>
      <c r="G64" s="151">
        <v>23766.37</v>
      </c>
      <c r="H64" s="152" t="s">
        <v>317</v>
      </c>
      <c r="I64" s="152">
        <v>26780</v>
      </c>
      <c r="J64" s="152" t="s">
        <v>318</v>
      </c>
      <c r="K64" s="152">
        <v>27430</v>
      </c>
      <c r="L64" s="124"/>
      <c r="M64" s="152"/>
      <c r="N64" s="152"/>
      <c r="O64" s="153"/>
      <c r="P64" s="128"/>
      <c r="Q64" s="118"/>
    </row>
    <row r="65" spans="1:17" ht="29.25" customHeight="1" x14ac:dyDescent="0.25">
      <c r="A65" s="72"/>
      <c r="B65" s="154"/>
      <c r="C65" s="155"/>
      <c r="D65" s="156" t="s">
        <v>319</v>
      </c>
      <c r="E65" s="157" t="s">
        <v>323</v>
      </c>
      <c r="F65" s="158"/>
      <c r="G65" s="159"/>
      <c r="H65" s="159"/>
      <c r="I65" s="159"/>
      <c r="J65" s="159"/>
      <c r="K65" s="159"/>
      <c r="L65" s="159"/>
      <c r="M65" s="159"/>
      <c r="N65" s="159"/>
      <c r="O65" s="159"/>
      <c r="P65" s="117"/>
      <c r="Q65" s="72"/>
    </row>
    <row r="66" spans="1:17" ht="18" customHeight="1" x14ac:dyDescent="0.25">
      <c r="A66" s="72"/>
      <c r="B66" s="154"/>
      <c r="C66" s="160" t="s">
        <v>320</v>
      </c>
      <c r="D66" s="161">
        <f>G3+G4+I2+G5+G6+I7+G8+G9+I10+G11+G12+G13+I14+I15+I16+G17++G18+K19+I20+I21+I22+G23+I24+K25+K26+I27+G28+K29+I30+I31+G32+G33+G34+I35+I36+I37+K38+I39+G41+G44+I45+G46++I47+K48+K49+G50+K51+I52+M53+M54+G55+K56+G57+I58+I62+G64+I63</f>
        <v>208006.19870000004</v>
      </c>
      <c r="E66" s="162">
        <f>D66/4.6575</f>
        <v>44660.482812667753</v>
      </c>
      <c r="F66" s="158"/>
      <c r="G66" s="159"/>
      <c r="H66" s="159"/>
      <c r="I66" s="159"/>
      <c r="J66" s="159"/>
      <c r="K66" s="159"/>
      <c r="L66" s="159"/>
      <c r="M66" s="159"/>
      <c r="N66" s="159"/>
      <c r="O66" s="159"/>
      <c r="P66" s="117"/>
      <c r="Q66" s="72"/>
    </row>
    <row r="67" spans="1:17" x14ac:dyDescent="0.25">
      <c r="A67" s="72"/>
      <c r="B67" s="154"/>
      <c r="C67" s="163" t="s">
        <v>321</v>
      </c>
      <c r="D67" s="164"/>
      <c r="E67" s="162">
        <f>D67/4.65</f>
        <v>0</v>
      </c>
      <c r="F67" s="158"/>
      <c r="G67" s="159"/>
      <c r="H67" s="159"/>
      <c r="I67" s="159"/>
      <c r="J67" s="159"/>
      <c r="K67" s="159"/>
      <c r="L67" s="159"/>
      <c r="M67" s="159"/>
      <c r="N67" s="159"/>
      <c r="O67" s="159"/>
      <c r="P67" s="117"/>
      <c r="Q67" s="72"/>
    </row>
    <row r="68" spans="1:17" x14ac:dyDescent="0.25">
      <c r="A68" s="72"/>
      <c r="B68" s="154"/>
      <c r="C68" s="160"/>
      <c r="D68" s="165"/>
      <c r="E68" s="162"/>
      <c r="F68" s="158"/>
      <c r="G68" s="159"/>
      <c r="H68" s="159"/>
      <c r="I68" s="159"/>
      <c r="J68" s="159"/>
      <c r="K68" s="159"/>
      <c r="L68" s="159"/>
      <c r="M68" s="159"/>
      <c r="N68" s="159"/>
      <c r="O68" s="159"/>
      <c r="P68" s="117"/>
      <c r="Q68" s="72"/>
    </row>
    <row r="69" spans="1:17" ht="15.75" thickBot="1" x14ac:dyDescent="0.3">
      <c r="A69" s="72"/>
      <c r="B69" s="154"/>
      <c r="C69" s="166" t="s">
        <v>322</v>
      </c>
      <c r="D69" s="167">
        <f>D66+D67</f>
        <v>208006.19870000004</v>
      </c>
      <c r="E69" s="162">
        <f>D69/4.6575</f>
        <v>44660.482812667753</v>
      </c>
      <c r="F69" s="158"/>
      <c r="G69" s="159"/>
      <c r="H69" s="159"/>
      <c r="I69" s="159"/>
      <c r="J69" s="159"/>
      <c r="K69" s="159"/>
      <c r="L69" s="159"/>
      <c r="M69" s="159"/>
      <c r="N69" s="159"/>
      <c r="O69" s="159"/>
      <c r="P69" s="117"/>
      <c r="Q69" s="72"/>
    </row>
    <row r="70" spans="1:17" x14ac:dyDescent="0.25">
      <c r="A70" s="72"/>
      <c r="B70" s="78"/>
      <c r="C70" s="168"/>
      <c r="D70" s="169"/>
      <c r="E70" s="170"/>
      <c r="F70" s="81"/>
      <c r="G70" s="159"/>
      <c r="H70" s="159"/>
      <c r="I70" s="159"/>
      <c r="J70" s="159"/>
      <c r="K70" s="159"/>
      <c r="L70" s="159"/>
      <c r="M70" s="159"/>
      <c r="N70" s="159"/>
      <c r="O70" s="159"/>
      <c r="P70" s="117"/>
      <c r="Q70" s="72"/>
    </row>
    <row r="71" spans="1:17" x14ac:dyDescent="0.25">
      <c r="A71" s="72"/>
      <c r="B71" s="171"/>
      <c r="C71" s="172"/>
      <c r="D71" s="80"/>
      <c r="E71" s="87"/>
      <c r="F71" s="87"/>
      <c r="G71" s="80"/>
      <c r="H71" s="80"/>
      <c r="I71" s="80"/>
      <c r="J71" s="80"/>
      <c r="K71" s="80"/>
      <c r="L71" s="80"/>
      <c r="M71" s="80"/>
      <c r="N71" s="80"/>
      <c r="O71" s="80"/>
      <c r="P71" s="173"/>
      <c r="Q71" s="72"/>
    </row>
    <row r="72" spans="1:17" x14ac:dyDescent="0.25">
      <c r="A72" s="72"/>
      <c r="B72" s="171"/>
      <c r="C72" s="172"/>
      <c r="D72" s="80"/>
      <c r="E72" s="87"/>
      <c r="F72" s="87"/>
      <c r="G72" s="80"/>
      <c r="H72" s="80"/>
      <c r="I72" s="80"/>
      <c r="J72" s="80"/>
      <c r="K72" s="80"/>
      <c r="L72" s="80"/>
      <c r="M72" s="80"/>
      <c r="N72" s="80"/>
      <c r="O72" s="80"/>
      <c r="P72" s="173"/>
      <c r="Q72" s="72"/>
    </row>
    <row r="73" spans="1:17" ht="15.75" thickBot="1" x14ac:dyDescent="0.3">
      <c r="A73" s="72"/>
      <c r="B73" s="174"/>
      <c r="C73" s="175"/>
      <c r="D73" s="176"/>
      <c r="E73" s="177"/>
      <c r="F73" s="177"/>
      <c r="G73" s="176"/>
      <c r="H73" s="176"/>
      <c r="I73" s="176"/>
      <c r="J73" s="176"/>
      <c r="K73" s="176"/>
      <c r="L73" s="176"/>
      <c r="M73" s="176"/>
      <c r="N73" s="176"/>
      <c r="O73" s="176"/>
      <c r="P73" s="178"/>
      <c r="Q73" s="72"/>
    </row>
    <row r="74" spans="1:17" x14ac:dyDescent="0.25">
      <c r="A74" s="72"/>
      <c r="B74" s="72"/>
      <c r="C74" s="179"/>
      <c r="D74" s="72"/>
      <c r="E74" s="180"/>
      <c r="F74" s="180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</row>
    <row r="75" spans="1:17" x14ac:dyDescent="0.25">
      <c r="A75" s="72"/>
      <c r="B75" s="72"/>
      <c r="C75" s="179"/>
      <c r="D75" s="72"/>
      <c r="E75" s="180"/>
      <c r="F75" s="180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</row>
    <row r="76" spans="1:17" x14ac:dyDescent="0.25">
      <c r="A76" s="72"/>
      <c r="B76" s="72"/>
      <c r="C76" s="179"/>
      <c r="D76" s="72"/>
      <c r="E76" s="180"/>
      <c r="F76" s="180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</row>
    <row r="77" spans="1:17" x14ac:dyDescent="0.25">
      <c r="A77" s="72"/>
      <c r="B77" s="72"/>
      <c r="C77" s="179"/>
      <c r="D77" s="72"/>
      <c r="E77" s="180">
        <f>SUM(E62:E63,E44:E58,E2:E41)</f>
        <v>334</v>
      </c>
      <c r="F77" s="180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</row>
    <row r="78" spans="1:17" x14ac:dyDescent="0.25">
      <c r="A78" s="72"/>
      <c r="B78" s="72"/>
      <c r="C78" s="179"/>
      <c r="D78" s="72"/>
      <c r="E78" s="180"/>
      <c r="F78" s="180"/>
      <c r="G78" s="72"/>
      <c r="H78" s="72"/>
      <c r="I78" s="72"/>
      <c r="J78" s="72"/>
      <c r="K78" s="72"/>
      <c r="L78" s="72"/>
      <c r="M78" s="72"/>
      <c r="N78" s="72"/>
      <c r="O78" s="72"/>
      <c r="P78" s="72"/>
      <c r="Q78" s="72"/>
    </row>
    <row r="79" spans="1:17" x14ac:dyDescent="0.25">
      <c r="A79" s="72"/>
      <c r="B79" s="72"/>
      <c r="C79" s="179"/>
      <c r="D79" s="72"/>
      <c r="E79" s="180"/>
      <c r="F79" s="180">
        <v>20000</v>
      </c>
      <c r="G79" s="72">
        <v>4.67</v>
      </c>
      <c r="H79" s="72"/>
      <c r="I79" s="72"/>
      <c r="J79" s="72"/>
      <c r="K79" s="72"/>
      <c r="L79" s="72"/>
      <c r="M79" s="72"/>
      <c r="N79" s="72"/>
      <c r="O79" s="72"/>
      <c r="P79" s="72"/>
      <c r="Q79" s="72"/>
    </row>
    <row r="80" spans="1:17" x14ac:dyDescent="0.25">
      <c r="A80" s="72"/>
      <c r="B80" s="72"/>
      <c r="C80" s="179"/>
      <c r="D80" s="72"/>
      <c r="E80" s="180"/>
      <c r="F80" s="180"/>
      <c r="G80" s="72"/>
      <c r="H80" s="72"/>
      <c r="I80" s="72"/>
      <c r="J80" s="72"/>
      <c r="K80" s="72"/>
      <c r="L80" s="72"/>
      <c r="M80" s="72"/>
      <c r="N80" s="72"/>
      <c r="O80" s="72"/>
      <c r="P80" s="72"/>
      <c r="Q80" s="72"/>
    </row>
    <row r="81" spans="1:17" x14ac:dyDescent="0.25">
      <c r="A81" s="72"/>
      <c r="B81" s="72"/>
      <c r="C81" s="179"/>
      <c r="D81" s="72"/>
      <c r="E81" s="180"/>
      <c r="F81" s="180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</row>
  </sheetData>
  <mergeCells count="3">
    <mergeCell ref="B43:P43"/>
    <mergeCell ref="B60:O60"/>
    <mergeCell ref="B61:P6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1</vt:i4>
      </vt:variant>
    </vt:vector>
  </HeadingPairs>
  <TitlesOfParts>
    <vt:vector size="5" baseType="lpstr">
      <vt:lpstr>DEVIZ GENERAL</vt:lpstr>
      <vt:lpstr>Deviz</vt:lpstr>
      <vt:lpstr>ECHIPAMENTE SI DOTARI</vt:lpstr>
      <vt:lpstr>centralizator oferte </vt:lpstr>
      <vt:lpstr>'DEVIZ GENERAL'!Print_Area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Caziuc Stefan</dc:creator>
  <cp:lastModifiedBy>IMPROVE</cp:lastModifiedBy>
  <cp:lastPrinted>2018-05-10T10:44:04Z</cp:lastPrinted>
  <dcterms:created xsi:type="dcterms:W3CDTF">2017-02-10T15:24:53Z</dcterms:created>
  <dcterms:modified xsi:type="dcterms:W3CDTF">2018-05-10T10:59:50Z</dcterms:modified>
</cp:coreProperties>
</file>